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52" activeTab="0"/>
  </bookViews>
  <sheets>
    <sheet name="Deelnemers" sheetId="1" r:id="rId1"/>
    <sheet name="Klasse indeling" sheetId="2" r:id="rId2"/>
  </sheets>
  <definedNames>
    <definedName name="_xlnm.Print_Area" localSheetId="0">'Deelnemers'!$A$1:$V$161,'Deelnemers'!$W$155</definedName>
    <definedName name="_xlnm.Print_Titles" localSheetId="0">'Deelnemers'!$1:$4</definedName>
    <definedName name="Excel_BuiltIn_Print_Area" localSheetId="0">'Deelnemers'!$A$1:$T$157</definedName>
    <definedName name="Excel_BuiltIn_Print_Area" localSheetId="0">'Deelnemers'!$A$1:$T$166</definedName>
  </definedNames>
  <calcPr fullCalcOnLoad="1"/>
</workbook>
</file>

<file path=xl/sharedStrings.xml><?xml version="1.0" encoding="utf-8"?>
<sst xmlns="http://schemas.openxmlformats.org/spreadsheetml/2006/main" count="470" uniqueCount="292">
  <si>
    <t xml:space="preserve"> Klasse – Indeling  '19 – '20</t>
  </si>
  <si>
    <t>Achternaam</t>
  </si>
  <si>
    <t>Voornaam</t>
  </si>
  <si>
    <t>Gem.1</t>
  </si>
  <si>
    <t>Gem.2</t>
  </si>
  <si>
    <t>Klasse</t>
  </si>
  <si>
    <t>Vereniging</t>
  </si>
  <si>
    <t>Agterhuis</t>
  </si>
  <si>
    <t>Gerard</t>
  </si>
  <si>
    <t>S.C. Wezep</t>
  </si>
  <si>
    <t>Bruggink</t>
  </si>
  <si>
    <t>Christiaan</t>
  </si>
  <si>
    <t>Sjoelchrisson</t>
  </si>
  <si>
    <t>Budde</t>
  </si>
  <si>
    <t>Paul</t>
  </si>
  <si>
    <t>E.T.S.V. '78</t>
  </si>
  <si>
    <t>Buunders</t>
  </si>
  <si>
    <t>Marino</t>
  </si>
  <si>
    <t>Engberts</t>
  </si>
  <si>
    <t>Willie</t>
  </si>
  <si>
    <t>Ons  Genoegen Kilder</t>
  </si>
  <si>
    <t>Heusinkveld</t>
  </si>
  <si>
    <t>Hans</t>
  </si>
  <si>
    <t>De Gelderse Schijven</t>
  </si>
  <si>
    <t>Hop</t>
  </si>
  <si>
    <t>Heidi</t>
  </si>
  <si>
    <t>A.S.V.'85</t>
  </si>
  <si>
    <t>Kiwiet</t>
  </si>
  <si>
    <t>Wim</t>
  </si>
  <si>
    <t>Kleppersjoelers</t>
  </si>
  <si>
    <t>Klein</t>
  </si>
  <si>
    <t>Jan</t>
  </si>
  <si>
    <t>S.V. Ons Vermaak</t>
  </si>
  <si>
    <t>Langerak</t>
  </si>
  <si>
    <t>Jarno</t>
  </si>
  <si>
    <t>N.E.A.</t>
  </si>
  <si>
    <t>Rorije</t>
  </si>
  <si>
    <t>Klaas</t>
  </si>
  <si>
    <t>Schibrowski</t>
  </si>
  <si>
    <t>Monique</t>
  </si>
  <si>
    <t>SC  Jakkolo</t>
  </si>
  <si>
    <t>Strank</t>
  </si>
  <si>
    <t>Livien</t>
  </si>
  <si>
    <t>Mik – In</t>
  </si>
  <si>
    <t>Riny</t>
  </si>
  <si>
    <t>Vochteloo</t>
  </si>
  <si>
    <t>Danny</t>
  </si>
  <si>
    <t>De  Schavuit</t>
  </si>
  <si>
    <t>Zaaijer</t>
  </si>
  <si>
    <t>Dicky</t>
  </si>
  <si>
    <t>Berends</t>
  </si>
  <si>
    <t>Bert</t>
  </si>
  <si>
    <t>Berg v.d.</t>
  </si>
  <si>
    <t>Berry</t>
  </si>
  <si>
    <t>S.C. Ons Vermaak</t>
  </si>
  <si>
    <t>Dijk van</t>
  </si>
  <si>
    <t>S.V. Hellevoetsluis</t>
  </si>
  <si>
    <t>Dominicus</t>
  </si>
  <si>
    <t>Joke</t>
  </si>
  <si>
    <t>Goor van</t>
  </si>
  <si>
    <t>Jaap</t>
  </si>
  <si>
    <t>S.V. Dedemsvaart</t>
  </si>
  <si>
    <r>
      <t>Jurri</t>
    </r>
    <r>
      <rPr>
        <sz val="10"/>
        <rFont val="Arial"/>
        <family val="2"/>
      </rPr>
      <t>ëns</t>
    </r>
  </si>
  <si>
    <t>Aartje</t>
  </si>
  <si>
    <t>Klumper</t>
  </si>
  <si>
    <t>Henri</t>
  </si>
  <si>
    <t>Knape</t>
  </si>
  <si>
    <t>Bertus</t>
  </si>
  <si>
    <t>De  Tukkers</t>
  </si>
  <si>
    <t>Kuurstra</t>
  </si>
  <si>
    <t>Hein</t>
  </si>
  <si>
    <t>Milligen van</t>
  </si>
  <si>
    <t>Driekus</t>
  </si>
  <si>
    <t>Nijmeijer</t>
  </si>
  <si>
    <t>Dirk</t>
  </si>
  <si>
    <t>Piekart</t>
  </si>
  <si>
    <t>Remco</t>
  </si>
  <si>
    <t>Prins</t>
  </si>
  <si>
    <t>S.C. Sportlust</t>
  </si>
  <si>
    <t>Rensen</t>
  </si>
  <si>
    <t>Marieke</t>
  </si>
  <si>
    <t>O.W.T.B.</t>
  </si>
  <si>
    <t>Velde ter</t>
  </si>
  <si>
    <r>
      <t>Andr</t>
    </r>
    <r>
      <rPr>
        <sz val="10"/>
        <rFont val="Arial"/>
        <family val="2"/>
      </rPr>
      <t>é</t>
    </r>
  </si>
  <si>
    <t>Visch</t>
  </si>
  <si>
    <t>West de</t>
  </si>
  <si>
    <t>Lenie</t>
  </si>
  <si>
    <t>Bekhof</t>
  </si>
  <si>
    <t>Clemense</t>
  </si>
  <si>
    <t>Sonja</t>
  </si>
  <si>
    <t>John</t>
  </si>
  <si>
    <t>Dolfsma</t>
  </si>
  <si>
    <t>Gerrist</t>
  </si>
  <si>
    <t>Hennie</t>
  </si>
  <si>
    <t>Anny</t>
  </si>
  <si>
    <t>Heijerman</t>
  </si>
  <si>
    <t>Fred</t>
  </si>
  <si>
    <t>De  Treffers</t>
  </si>
  <si>
    <t>Hest van</t>
  </si>
  <si>
    <t>Hermien</t>
  </si>
  <si>
    <t>Arja</t>
  </si>
  <si>
    <t>Ria</t>
  </si>
  <si>
    <t>Koldenhof</t>
  </si>
  <si>
    <t>Eddy</t>
  </si>
  <si>
    <t>Rook</t>
  </si>
  <si>
    <t>Hendrikus</t>
  </si>
  <si>
    <t>Zwartewaterland</t>
  </si>
  <si>
    <t>Schreur</t>
  </si>
  <si>
    <t>Hilly</t>
  </si>
  <si>
    <t>Steert</t>
  </si>
  <si>
    <t>Harry</t>
  </si>
  <si>
    <t>Vels</t>
  </si>
  <si>
    <t>Dick</t>
  </si>
  <si>
    <t>Verburgt</t>
  </si>
  <si>
    <t>Henk</t>
  </si>
  <si>
    <t>Bathoorn</t>
  </si>
  <si>
    <t>Beens</t>
  </si>
  <si>
    <t>Geke</t>
  </si>
  <si>
    <t>Gemma</t>
  </si>
  <si>
    <t>Thea</t>
  </si>
  <si>
    <t>Eskes</t>
  </si>
  <si>
    <t>Bennie</t>
  </si>
  <si>
    <t>Gerritsen</t>
  </si>
  <si>
    <t>Willy</t>
  </si>
  <si>
    <t>Groot de</t>
  </si>
  <si>
    <t>Krause</t>
  </si>
  <si>
    <t>Diana</t>
  </si>
  <si>
    <t>Molenveld</t>
  </si>
  <si>
    <t>Nauta</t>
  </si>
  <si>
    <t>Rinkje</t>
  </si>
  <si>
    <t>Oostenbrink</t>
  </si>
  <si>
    <t>Oostra</t>
  </si>
  <si>
    <t>S.V. Zwolle</t>
  </si>
  <si>
    <t>Peeters</t>
  </si>
  <si>
    <t>George</t>
  </si>
  <si>
    <t>Piet</t>
  </si>
  <si>
    <t>Popovic</t>
  </si>
  <si>
    <t>Nedo</t>
  </si>
  <si>
    <t>Meikel</t>
  </si>
  <si>
    <t>Speksnijder</t>
  </si>
  <si>
    <t>Willem</t>
  </si>
  <si>
    <t>Wild de</t>
  </si>
  <si>
    <t>Diny</t>
  </si>
  <si>
    <t>Willems</t>
  </si>
  <si>
    <t>Demi</t>
  </si>
  <si>
    <t>Beening</t>
  </si>
  <si>
    <t>Dinie</t>
  </si>
  <si>
    <t>Betting</t>
  </si>
  <si>
    <t>Annie</t>
  </si>
  <si>
    <t>Bongers</t>
  </si>
  <si>
    <t xml:space="preserve">Brink v.d. </t>
  </si>
  <si>
    <t>Hendrika</t>
  </si>
  <si>
    <t>Buiting</t>
  </si>
  <si>
    <t>Jonker</t>
  </si>
  <si>
    <t>Kelly</t>
  </si>
  <si>
    <t>Marga</t>
  </si>
  <si>
    <t>S.C. Hoogeveen</t>
  </si>
  <si>
    <t>Kooijman</t>
  </si>
  <si>
    <t>Ab</t>
  </si>
  <si>
    <t>Koppelman</t>
  </si>
  <si>
    <t>Betty</t>
  </si>
  <si>
    <t>Kornet</t>
  </si>
  <si>
    <t>Jansje</t>
  </si>
  <si>
    <t>Mensert</t>
  </si>
  <si>
    <t>De Wilberties</t>
  </si>
  <si>
    <t>Leo</t>
  </si>
  <si>
    <t>Janny</t>
  </si>
  <si>
    <t>Reijns</t>
  </si>
  <si>
    <t>Rien</t>
  </si>
  <si>
    <t>Smoorenburg</t>
  </si>
  <si>
    <t>Wally</t>
  </si>
  <si>
    <t>S.C. Sjovelie</t>
  </si>
  <si>
    <t>Strating</t>
  </si>
  <si>
    <t>Jakob</t>
  </si>
  <si>
    <t>Vinkenvleugel</t>
  </si>
  <si>
    <t>Frans</t>
  </si>
  <si>
    <t>Visser</t>
  </si>
  <si>
    <t>Ons Genoegen Dronten</t>
  </si>
  <si>
    <t>Vrijdag</t>
  </si>
  <si>
    <t xml:space="preserve">Jo </t>
  </si>
  <si>
    <t>Wessels</t>
  </si>
  <si>
    <t>Zanden v.d.</t>
  </si>
  <si>
    <t>Adriana</t>
  </si>
  <si>
    <t>Besselink</t>
  </si>
  <si>
    <t>Bijlsma</t>
  </si>
  <si>
    <t>Roelie</t>
  </si>
  <si>
    <t>Blom v.d.</t>
  </si>
  <si>
    <t>Judith</t>
  </si>
  <si>
    <t>- - -</t>
  </si>
  <si>
    <t>Dieckman</t>
  </si>
  <si>
    <t>Jeltje</t>
  </si>
  <si>
    <t>Groenhof</t>
  </si>
  <si>
    <t>Mia</t>
  </si>
  <si>
    <t>Harbers</t>
  </si>
  <si>
    <t>Heesbeen</t>
  </si>
  <si>
    <t>Wil</t>
  </si>
  <si>
    <t>Helmrich</t>
  </si>
  <si>
    <t>Jane</t>
  </si>
  <si>
    <t>Hendriks</t>
  </si>
  <si>
    <t>Heuvel v.d.</t>
  </si>
  <si>
    <t>Linda</t>
  </si>
  <si>
    <t xml:space="preserve">Janssen </t>
  </si>
  <si>
    <t>Nel</t>
  </si>
  <si>
    <t>Kleinjan</t>
  </si>
  <si>
    <t>De  Schuuvers</t>
  </si>
  <si>
    <t>Kwakkel</t>
  </si>
  <si>
    <t>Gerrit</t>
  </si>
  <si>
    <t>Leusink</t>
  </si>
  <si>
    <t>Loo te</t>
  </si>
  <si>
    <t>Willemien</t>
  </si>
  <si>
    <t>Markx</t>
  </si>
  <si>
    <r>
      <t>Gr</t>
    </r>
    <r>
      <rPr>
        <sz val="10"/>
        <rFont val="Arial"/>
        <family val="2"/>
      </rPr>
      <t>é</t>
    </r>
  </si>
  <si>
    <t>Ooyen van</t>
  </si>
  <si>
    <t>Carla</t>
  </si>
  <si>
    <t>Overweg</t>
  </si>
  <si>
    <t>Gert</t>
  </si>
  <si>
    <t>Petersen</t>
  </si>
  <si>
    <t>Hanny</t>
  </si>
  <si>
    <t>Rensing</t>
  </si>
  <si>
    <t>Rietveld</t>
  </si>
  <si>
    <t>Adrie</t>
  </si>
  <si>
    <t>Sanders</t>
  </si>
  <si>
    <t>Schlosser</t>
  </si>
  <si>
    <t>Gombert</t>
  </si>
  <si>
    <t>Schram</t>
  </si>
  <si>
    <t>Rosilda</t>
  </si>
  <si>
    <t>Smink</t>
  </si>
  <si>
    <t>Soyza de</t>
  </si>
  <si>
    <t>Prema</t>
  </si>
  <si>
    <t>Verschure</t>
  </si>
  <si>
    <t>Jennie</t>
  </si>
  <si>
    <r>
      <t>Bj</t>
    </r>
    <r>
      <rPr>
        <sz val="10"/>
        <rFont val="Arial"/>
        <family val="2"/>
      </rPr>
      <t>örn</t>
    </r>
  </si>
  <si>
    <t>Wevers</t>
  </si>
  <si>
    <t>S.C. Westenesch</t>
  </si>
  <si>
    <t>Wit de</t>
  </si>
  <si>
    <t>Jolanda</t>
  </si>
  <si>
    <t>Zoer</t>
  </si>
  <si>
    <t>Mirjam</t>
  </si>
  <si>
    <t>Adriaensen</t>
  </si>
  <si>
    <t>Patty</t>
  </si>
  <si>
    <t>Beek v.</t>
  </si>
  <si>
    <t>Riekie</t>
  </si>
  <si>
    <t>Susan</t>
  </si>
  <si>
    <t>Betsie</t>
  </si>
  <si>
    <t>Blok</t>
  </si>
  <si>
    <t>Cuppers</t>
  </si>
  <si>
    <t>Yvonne</t>
  </si>
  <si>
    <t>Doornbos</t>
  </si>
  <si>
    <t>Jeanet</t>
  </si>
  <si>
    <t>Engelbarts</t>
  </si>
  <si>
    <t>Ruud</t>
  </si>
  <si>
    <t>Heerdt ter</t>
  </si>
  <si>
    <t xml:space="preserve">Ton </t>
  </si>
  <si>
    <t>Holkenborg</t>
  </si>
  <si>
    <t>Truus</t>
  </si>
  <si>
    <t>Hulshof</t>
  </si>
  <si>
    <t>Jansen</t>
  </si>
  <si>
    <t>Kleine</t>
  </si>
  <si>
    <t>Jouktje</t>
  </si>
  <si>
    <t>Kouswijk van</t>
  </si>
  <si>
    <t>Krijger</t>
  </si>
  <si>
    <t>Lammers</t>
  </si>
  <si>
    <t>Renate</t>
  </si>
  <si>
    <t xml:space="preserve"> De Gelderse Schijven</t>
  </si>
  <si>
    <t>Lettink</t>
  </si>
  <si>
    <t>Mulder</t>
  </si>
  <si>
    <t>Paula</t>
  </si>
  <si>
    <t>Ottens</t>
  </si>
  <si>
    <t>Klaasje</t>
  </si>
  <si>
    <t>Pippel</t>
  </si>
  <si>
    <t>Schlichter</t>
  </si>
  <si>
    <t>Selten</t>
  </si>
  <si>
    <t>Steenvoort</t>
  </si>
  <si>
    <t>Tonnie</t>
  </si>
  <si>
    <t>Richard</t>
  </si>
  <si>
    <t>Vogelzang</t>
  </si>
  <si>
    <t>Henny</t>
  </si>
  <si>
    <t>Vos</t>
  </si>
  <si>
    <t>Epie</t>
  </si>
  <si>
    <t>Waal de</t>
  </si>
  <si>
    <t>Petra</t>
  </si>
  <si>
    <t>Witteveen</t>
  </si>
  <si>
    <t>Elly</t>
  </si>
  <si>
    <t>Ondergrens</t>
  </si>
  <si>
    <t>Bovengrens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</si>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</sst>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dd/mm/yyyy"/>
    <numFmt numFmtId="166" formatCode="#"/>
    <numFmt numFmtId="167" formatCode="00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12" fillId="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18" fillId="0" borderId="16" xfId="0" applyFont="1" applyBorder="1" applyAlignment="1" applyProtection="1">
      <alignment horizontal="center"/>
      <protection/>
    </xf>
    <xf numFmtId="1" fontId="18" fillId="0" borderId="16" xfId="0" applyNumberFormat="1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164" fontId="18" fillId="0" borderId="16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166" fontId="0" fillId="0" borderId="13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>
      <alignment horizontal="center"/>
    </xf>
    <xf numFmtId="167" fontId="0" fillId="0" borderId="13" xfId="0" applyNumberFormat="1" applyBorder="1" applyAlignment="1" applyProtection="1">
      <alignment horizontal="center"/>
      <protection locked="0"/>
    </xf>
    <xf numFmtId="0" fontId="17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7" fillId="0" borderId="18" xfId="0" applyFont="1" applyBorder="1" applyAlignment="1" applyProtection="1">
      <alignment horizontal="right"/>
      <protection locked="0"/>
    </xf>
    <xf numFmtId="166" fontId="0" fillId="0" borderId="13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20" xfId="0" applyBorder="1" applyAlignment="1">
      <alignment/>
    </xf>
    <xf numFmtId="0" fontId="17" fillId="0" borderId="18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17" fillId="0" borderId="18" xfId="0" applyFont="1" applyBorder="1" applyAlignment="1" applyProtection="1">
      <alignment horizontal="center"/>
      <protection locked="0"/>
    </xf>
    <xf numFmtId="2" fontId="17" fillId="0" borderId="18" xfId="0" applyNumberFormat="1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24" borderId="0" xfId="0" applyFill="1" applyAlignment="1">
      <alignment/>
    </xf>
    <xf numFmtId="164" fontId="0" fillId="0" borderId="18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67" fontId="0" fillId="0" borderId="18" xfId="0" applyNumberFormat="1" applyBorder="1" applyAlignment="1" applyProtection="1">
      <alignment horizontal="center"/>
      <protection locked="0"/>
    </xf>
    <xf numFmtId="166" fontId="0" fillId="0" borderId="18" xfId="0" applyNumberForma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165" fontId="18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tabSelected="1" zoomScaleSheetLayoutView="100" zoomScalePageLayoutView="0" workbookViewId="0" topLeftCell="A1">
      <pane ySplit="4" topLeftCell="A137" activePane="bottomLeft" state="frozen"/>
      <selection pane="topLeft" activeCell="A1" sqref="A1"/>
      <selection pane="bottomLeft" activeCell="W155" sqref="W155"/>
    </sheetView>
  </sheetViews>
  <sheetFormatPr defaultColWidth="9.140625" defaultRowHeight="12.75"/>
  <cols>
    <col min="1" max="1" width="15.00390625" style="0" customWidth="1"/>
    <col min="2" max="2" width="10.7109375" style="0" customWidth="1"/>
    <col min="3" max="11" width="5.8515625" style="1" customWidth="1"/>
    <col min="12" max="12" width="0.13671875" style="1" customWidth="1"/>
    <col min="13" max="17" width="8.140625" style="1" hidden="1" customWidth="1"/>
    <col min="18" max="18" width="8.140625" style="1" customWidth="1"/>
    <col min="19" max="19" width="8.140625" style="2" customWidth="1"/>
    <col min="20" max="20" width="9.421875" style="0" customWidth="1"/>
    <col min="21" max="21" width="0" style="0" hidden="1" customWidth="1"/>
    <col min="22" max="22" width="20.57421875" style="0" customWidth="1"/>
  </cols>
  <sheetData>
    <row r="1" spans="1:20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"/>
      <c r="O1" s="3"/>
      <c r="P1" s="3"/>
      <c r="Q1" s="3"/>
      <c r="R1" s="3"/>
      <c r="S1" s="4"/>
      <c r="T1" s="5"/>
    </row>
    <row r="2" spans="1:20" ht="12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"/>
    </row>
    <row r="3" spans="1:20" ht="12.75">
      <c r="A3" s="7"/>
      <c r="B3" s="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9"/>
      <c r="O3" s="9"/>
      <c r="P3" s="9"/>
      <c r="Q3" s="9"/>
      <c r="R3" s="9"/>
      <c r="S3" s="10"/>
      <c r="T3" s="11"/>
    </row>
    <row r="4" spans="1:22" ht="12.75">
      <c r="A4" s="12" t="s">
        <v>1</v>
      </c>
      <c r="B4" s="12" t="s">
        <v>2</v>
      </c>
      <c r="C4" s="13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4">
        <v>12</v>
      </c>
      <c r="O4" s="14">
        <v>13</v>
      </c>
      <c r="P4" s="14">
        <v>14</v>
      </c>
      <c r="Q4" s="14">
        <v>15</v>
      </c>
      <c r="R4" s="15" t="s">
        <v>3</v>
      </c>
      <c r="S4" s="16" t="s">
        <v>4</v>
      </c>
      <c r="T4" s="17" t="s">
        <v>5</v>
      </c>
      <c r="V4" s="18" t="s">
        <v>6</v>
      </c>
    </row>
    <row r="5" spans="1:22" ht="12" customHeight="1">
      <c r="A5" s="27" t="s">
        <v>238</v>
      </c>
      <c r="B5" s="27" t="s">
        <v>239</v>
      </c>
      <c r="C5" s="21"/>
      <c r="D5" s="21"/>
      <c r="E5" s="22"/>
      <c r="F5" s="21"/>
      <c r="G5" s="21"/>
      <c r="H5" s="21">
        <f>SUM(456)</f>
        <v>456</v>
      </c>
      <c r="I5" s="21"/>
      <c r="J5" s="21"/>
      <c r="K5" s="21"/>
      <c r="L5" s="22"/>
      <c r="M5" s="22"/>
      <c r="N5" s="28"/>
      <c r="O5" s="28"/>
      <c r="P5" s="28"/>
      <c r="Q5" s="28"/>
      <c r="R5" s="35">
        <f>IF(A5="","",AVERAGE(C5:Q5))</f>
        <v>456</v>
      </c>
      <c r="S5" s="24">
        <f>IF(R5="","",R5/5)</f>
        <v>91.2</v>
      </c>
      <c r="T5" s="21" t="str">
        <f aca="true" t="shared" si="0" ref="T5:T23">IF(AND(S5&gt;=134,S5&lt;=148),"A",IF(AND(S5&gt;=130,S5&lt;=133.99),"B",IF(AND(S5&gt;=126,S5&lt;=129.99),"C",IF(AND(S5&gt;=121,S5&lt;=125.99),"D",IF(AND(S5&gt;=115,S5&lt;=120.99),"E",IF(AND(S5&gt;=108,S5&lt;=114.99),"F",IF(AND(S5&gt;=0,S5&lt;=107.99),"G","")))))))</f>
        <v>G</v>
      </c>
      <c r="V5" s="26" t="s">
        <v>26</v>
      </c>
    </row>
    <row r="6" spans="1:22" ht="12.75">
      <c r="A6" s="19" t="s">
        <v>7</v>
      </c>
      <c r="B6" s="20" t="s">
        <v>8</v>
      </c>
      <c r="C6" s="21"/>
      <c r="D6" s="22"/>
      <c r="E6" s="21">
        <f>SUM(680+680)</f>
        <v>1360</v>
      </c>
      <c r="F6" s="22"/>
      <c r="G6" s="22"/>
      <c r="H6" s="21">
        <f>SUM(680+680)</f>
        <v>1360</v>
      </c>
      <c r="I6" s="21"/>
      <c r="J6" s="21"/>
      <c r="K6" s="22"/>
      <c r="L6" s="22"/>
      <c r="M6" s="22"/>
      <c r="N6" s="22"/>
      <c r="O6" s="22"/>
      <c r="P6" s="22"/>
      <c r="Q6" s="22"/>
      <c r="R6" s="63">
        <f>IF(A6="","",AVERAGE(C6:Q6))</f>
        <v>1360</v>
      </c>
      <c r="S6" s="24">
        <f>IF(R6="","",R6/10)</f>
        <v>136</v>
      </c>
      <c r="T6" s="21" t="str">
        <f t="shared" si="0"/>
        <v>A</v>
      </c>
      <c r="U6" s="25"/>
      <c r="V6" s="26" t="s">
        <v>9</v>
      </c>
    </row>
    <row r="7" spans="1:22" ht="12.75">
      <c r="A7" s="27" t="s">
        <v>115</v>
      </c>
      <c r="B7" s="27" t="s">
        <v>28</v>
      </c>
      <c r="C7" s="22"/>
      <c r="D7" s="22"/>
      <c r="E7" s="21"/>
      <c r="F7" s="22"/>
      <c r="G7" s="22"/>
      <c r="H7" s="21">
        <f>SUM(608+608)</f>
        <v>1216</v>
      </c>
      <c r="I7" s="22"/>
      <c r="J7" s="22"/>
      <c r="K7" s="22"/>
      <c r="L7" s="22"/>
      <c r="M7" s="22"/>
      <c r="N7" s="28"/>
      <c r="O7" s="28"/>
      <c r="P7" s="28"/>
      <c r="Q7" s="28"/>
      <c r="R7" s="29">
        <f>IF(A7="","",AVERAGE(C7:Q7))</f>
        <v>1216</v>
      </c>
      <c r="S7" s="24">
        <f>IF(R7="","",R7/10)</f>
        <v>121.6</v>
      </c>
      <c r="T7" s="21" t="str">
        <f t="shared" si="0"/>
        <v>D</v>
      </c>
      <c r="V7" s="26" t="s">
        <v>26</v>
      </c>
    </row>
    <row r="8" spans="1:22" ht="12.75">
      <c r="A8" s="27" t="s">
        <v>240</v>
      </c>
      <c r="B8" s="19" t="s">
        <v>241</v>
      </c>
      <c r="C8" s="22"/>
      <c r="D8" s="22"/>
      <c r="E8" s="22"/>
      <c r="F8" s="22"/>
      <c r="G8" s="22"/>
      <c r="H8" s="21">
        <f>SUM(499)</f>
        <v>499</v>
      </c>
      <c r="I8" s="22"/>
      <c r="J8" s="22"/>
      <c r="K8" s="21"/>
      <c r="L8" s="22"/>
      <c r="M8" s="22"/>
      <c r="N8" s="28"/>
      <c r="O8" s="28"/>
      <c r="P8" s="28"/>
      <c r="Q8" s="28"/>
      <c r="R8" s="29">
        <f>IF(A8="","",AVERAGE(C8:Q8))</f>
        <v>499</v>
      </c>
      <c r="S8" s="24">
        <f>IF(R8="","",R8/5)</f>
        <v>99.8</v>
      </c>
      <c r="T8" s="21" t="str">
        <f t="shared" si="0"/>
        <v>G</v>
      </c>
      <c r="V8" s="26" t="s">
        <v>61</v>
      </c>
    </row>
    <row r="9" spans="1:22" ht="12.75">
      <c r="A9" s="27" t="s">
        <v>145</v>
      </c>
      <c r="B9" s="20" t="s">
        <v>146</v>
      </c>
      <c r="C9" s="22"/>
      <c r="D9" s="22"/>
      <c r="E9" s="22"/>
      <c r="F9" s="21">
        <f>SUM(593+593)</f>
        <v>1186</v>
      </c>
      <c r="G9" s="22"/>
      <c r="H9" s="22"/>
      <c r="I9" s="21"/>
      <c r="J9" s="22"/>
      <c r="K9" s="22"/>
      <c r="L9" s="22"/>
      <c r="M9" s="22"/>
      <c r="N9" s="28"/>
      <c r="O9" s="28"/>
      <c r="P9" s="28"/>
      <c r="Q9" s="28"/>
      <c r="R9" s="29">
        <f>IF(A9="","",AVERAGE(C9:Q9))</f>
        <v>1186</v>
      </c>
      <c r="S9" s="24">
        <f aca="true" t="shared" si="1" ref="S9:S19">IF(R9="","",R9/10)</f>
        <v>118.6</v>
      </c>
      <c r="T9" s="21" t="str">
        <f t="shared" si="0"/>
        <v>E</v>
      </c>
      <c r="V9" s="41"/>
    </row>
    <row r="10" spans="1:22" ht="12.75">
      <c r="A10" s="34" t="s">
        <v>116</v>
      </c>
      <c r="B10" s="34" t="s">
        <v>117</v>
      </c>
      <c r="C10" s="21"/>
      <c r="D10" s="21"/>
      <c r="E10" s="21"/>
      <c r="F10" s="21"/>
      <c r="G10" s="21"/>
      <c r="H10" s="21">
        <f>SUM(628+583)</f>
        <v>1211</v>
      </c>
      <c r="I10" s="21"/>
      <c r="J10" s="21"/>
      <c r="K10" s="21"/>
      <c r="L10" s="22"/>
      <c r="M10" s="22"/>
      <c r="N10" s="22"/>
      <c r="O10" s="22"/>
      <c r="P10" s="22"/>
      <c r="Q10" s="22"/>
      <c r="R10" s="7">
        <f>IF(A10="","",SUM(C10:Q10))</f>
        <v>1211</v>
      </c>
      <c r="S10" s="24">
        <f t="shared" si="1"/>
        <v>121.1</v>
      </c>
      <c r="T10" s="21" t="str">
        <f t="shared" si="0"/>
        <v>D</v>
      </c>
      <c r="U10" s="25"/>
      <c r="V10" s="26" t="s">
        <v>106</v>
      </c>
    </row>
    <row r="11" spans="1:22" ht="12.75" customHeight="1">
      <c r="A11" s="27" t="s">
        <v>87</v>
      </c>
      <c r="B11" s="27" t="s">
        <v>88</v>
      </c>
      <c r="C11" s="21"/>
      <c r="D11" s="21">
        <f>SUM(683+666)</f>
        <v>1349</v>
      </c>
      <c r="E11" s="21">
        <f>SUM(632+527)</f>
        <v>1159</v>
      </c>
      <c r="F11" s="21">
        <f>SUM(652+664)</f>
        <v>1316</v>
      </c>
      <c r="G11" s="21"/>
      <c r="H11" s="21">
        <f>SUM(699+622)</f>
        <v>1321</v>
      </c>
      <c r="I11" s="21"/>
      <c r="J11" s="21">
        <f>SUM(653+644)</f>
        <v>1297</v>
      </c>
      <c r="K11" s="21">
        <f>SUM(682+649)</f>
        <v>1331</v>
      </c>
      <c r="L11" s="22"/>
      <c r="M11" s="22"/>
      <c r="N11" s="28"/>
      <c r="O11" s="28"/>
      <c r="P11" s="28"/>
      <c r="Q11" s="28"/>
      <c r="R11" s="30">
        <f aca="true" t="shared" si="2" ref="R11:R16">IF(A11="","",AVERAGE(C11:Q11))</f>
        <v>1295.5</v>
      </c>
      <c r="S11" s="24">
        <f t="shared" si="1"/>
        <v>129.55</v>
      </c>
      <c r="T11" s="21" t="str">
        <f t="shared" si="0"/>
        <v>C</v>
      </c>
      <c r="V11" s="26" t="s">
        <v>78</v>
      </c>
    </row>
    <row r="12" spans="1:22" ht="12.75">
      <c r="A12" s="27" t="s">
        <v>50</v>
      </c>
      <c r="B12" s="27" t="s">
        <v>51</v>
      </c>
      <c r="C12" s="21">
        <f>SUM(652+619)</f>
        <v>1271</v>
      </c>
      <c r="D12" s="21">
        <f>SUM(653+602)</f>
        <v>1255</v>
      </c>
      <c r="E12" s="21">
        <f>SUM(670+600)</f>
        <v>1270</v>
      </c>
      <c r="F12" s="21">
        <f>SUM(667+616)</f>
        <v>1283</v>
      </c>
      <c r="G12" s="38">
        <f>SUM(720+720)</f>
        <v>1440</v>
      </c>
      <c r="H12" s="21">
        <f>SUM(676+616)</f>
        <v>1292</v>
      </c>
      <c r="I12" s="21">
        <f>SUM(693+615)</f>
        <v>1308</v>
      </c>
      <c r="J12" s="21">
        <f>SUM(653+677)</f>
        <v>1330</v>
      </c>
      <c r="K12" s="21">
        <f>SUM(651+618)</f>
        <v>1269</v>
      </c>
      <c r="L12" s="22"/>
      <c r="M12" s="22"/>
      <c r="N12" s="28"/>
      <c r="O12" s="28"/>
      <c r="P12" s="28"/>
      <c r="Q12" s="28"/>
      <c r="R12" s="30">
        <f t="shared" si="2"/>
        <v>1302</v>
      </c>
      <c r="S12" s="24">
        <f t="shared" si="1"/>
        <v>130.2</v>
      </c>
      <c r="T12" s="21" t="str">
        <f t="shared" si="0"/>
        <v>B</v>
      </c>
      <c r="V12" s="26" t="s">
        <v>40</v>
      </c>
    </row>
    <row r="13" spans="1:22" ht="12.75">
      <c r="A13" s="27" t="s">
        <v>50</v>
      </c>
      <c r="B13" s="20" t="s">
        <v>118</v>
      </c>
      <c r="C13" s="21">
        <f>SUM(605+579)</f>
        <v>1184</v>
      </c>
      <c r="D13" s="21">
        <f>SUM(658+639)</f>
        <v>1297</v>
      </c>
      <c r="E13" s="21">
        <f>SUM(592+585)</f>
        <v>1177</v>
      </c>
      <c r="F13" s="21">
        <f>SUM(631+576)</f>
        <v>1207</v>
      </c>
      <c r="G13" s="21">
        <f>SUM(618+560)</f>
        <v>1178</v>
      </c>
      <c r="H13" s="21">
        <f>SUM(637+649)</f>
        <v>1286</v>
      </c>
      <c r="I13" s="21">
        <f>SUM(638+638)</f>
        <v>1276</v>
      </c>
      <c r="J13" s="21">
        <f>SUM(657+635)</f>
        <v>1292</v>
      </c>
      <c r="K13" s="21">
        <f>SUM(663+596)</f>
        <v>1259</v>
      </c>
      <c r="L13" s="22"/>
      <c r="M13" s="22"/>
      <c r="N13" s="28"/>
      <c r="O13" s="28"/>
      <c r="P13" s="28"/>
      <c r="Q13" s="28"/>
      <c r="R13" s="35">
        <f t="shared" si="2"/>
        <v>1239.5555555555557</v>
      </c>
      <c r="S13" s="24">
        <f t="shared" si="1"/>
        <v>123.95555555555556</v>
      </c>
      <c r="T13" s="21" t="str">
        <f t="shared" si="0"/>
        <v>D</v>
      </c>
      <c r="V13" s="26" t="s">
        <v>43</v>
      </c>
    </row>
    <row r="14" spans="1:22" ht="12.75">
      <c r="A14" s="27" t="s">
        <v>50</v>
      </c>
      <c r="B14" s="34" t="s">
        <v>242</v>
      </c>
      <c r="C14" s="22"/>
      <c r="D14" s="22"/>
      <c r="E14" s="21"/>
      <c r="F14" s="22"/>
      <c r="G14" s="21">
        <f>SUM(491+510)</f>
        <v>1001</v>
      </c>
      <c r="H14" s="22"/>
      <c r="I14" s="21"/>
      <c r="J14" s="22"/>
      <c r="K14" s="22"/>
      <c r="L14" s="22"/>
      <c r="M14" s="22"/>
      <c r="N14" s="28"/>
      <c r="O14" s="28"/>
      <c r="P14" s="28"/>
      <c r="Q14" s="28"/>
      <c r="R14" s="29">
        <f t="shared" si="2"/>
        <v>1001</v>
      </c>
      <c r="S14" s="24">
        <f t="shared" si="1"/>
        <v>100.1</v>
      </c>
      <c r="T14" s="21" t="str">
        <f t="shared" si="0"/>
        <v>G</v>
      </c>
      <c r="V14" s="41"/>
    </row>
    <row r="15" spans="1:22" ht="12.75">
      <c r="A15" s="20" t="s">
        <v>52</v>
      </c>
      <c r="B15" s="20" t="s">
        <v>53</v>
      </c>
      <c r="C15" s="21"/>
      <c r="D15" s="22"/>
      <c r="E15" s="21">
        <f>SUM(665+665)</f>
        <v>1330</v>
      </c>
      <c r="F15" s="22"/>
      <c r="G15" s="22"/>
      <c r="H15" s="22"/>
      <c r="I15" s="21"/>
      <c r="J15" s="21"/>
      <c r="K15" s="22"/>
      <c r="L15" s="22"/>
      <c r="M15" s="22"/>
      <c r="N15" s="22"/>
      <c r="O15" s="22"/>
      <c r="P15" s="22"/>
      <c r="Q15" s="22"/>
      <c r="R15" s="39">
        <f t="shared" si="2"/>
        <v>1330</v>
      </c>
      <c r="S15" s="24">
        <f t="shared" si="1"/>
        <v>133</v>
      </c>
      <c r="T15" s="21" t="str">
        <f t="shared" si="0"/>
        <v>B</v>
      </c>
      <c r="U15" s="33"/>
      <c r="V15" s="26" t="s">
        <v>54</v>
      </c>
    </row>
    <row r="16" spans="1:22" ht="12.75">
      <c r="A16" s="27" t="s">
        <v>183</v>
      </c>
      <c r="B16" s="34" t="s">
        <v>121</v>
      </c>
      <c r="C16" s="22"/>
      <c r="D16" s="22"/>
      <c r="E16" s="22"/>
      <c r="F16" s="21">
        <f>SUM(567+561)</f>
        <v>1128</v>
      </c>
      <c r="G16" s="22"/>
      <c r="H16" s="21"/>
      <c r="I16" s="22"/>
      <c r="J16" s="22"/>
      <c r="K16" s="22"/>
      <c r="L16" s="22"/>
      <c r="M16" s="22"/>
      <c r="N16" s="28"/>
      <c r="O16" s="28"/>
      <c r="P16" s="28"/>
      <c r="Q16" s="28"/>
      <c r="R16" s="29">
        <f t="shared" si="2"/>
        <v>1128</v>
      </c>
      <c r="S16" s="24">
        <f t="shared" si="1"/>
        <v>112.8</v>
      </c>
      <c r="T16" s="21" t="str">
        <f t="shared" si="0"/>
        <v>F</v>
      </c>
      <c r="V16" s="26" t="s">
        <v>20</v>
      </c>
    </row>
    <row r="17" spans="1:22" ht="12.75">
      <c r="A17" s="27" t="s">
        <v>183</v>
      </c>
      <c r="B17" s="27" t="s">
        <v>243</v>
      </c>
      <c r="C17" s="21"/>
      <c r="D17" s="22"/>
      <c r="E17" s="21"/>
      <c r="F17" s="21">
        <f>SUM(498+566)</f>
        <v>1064</v>
      </c>
      <c r="G17" s="22"/>
      <c r="H17" s="21"/>
      <c r="I17" s="21"/>
      <c r="J17" s="22"/>
      <c r="K17" s="21"/>
      <c r="L17" s="22"/>
      <c r="M17" s="22"/>
      <c r="N17" s="28"/>
      <c r="O17" s="28"/>
      <c r="P17" s="28"/>
      <c r="Q17" s="28"/>
      <c r="R17" s="29">
        <f>IF(A17="","",SUM(C17:Q17))</f>
        <v>1064</v>
      </c>
      <c r="S17" s="24">
        <f t="shared" si="1"/>
        <v>106.4</v>
      </c>
      <c r="T17" s="21" t="str">
        <f t="shared" si="0"/>
        <v>G</v>
      </c>
      <c r="V17" s="26" t="s">
        <v>20</v>
      </c>
    </row>
    <row r="18" spans="1:22" ht="12.75">
      <c r="A18" s="34" t="s">
        <v>147</v>
      </c>
      <c r="B18" s="34" t="s">
        <v>148</v>
      </c>
      <c r="C18" s="22"/>
      <c r="D18" s="22"/>
      <c r="E18" s="22"/>
      <c r="F18" s="21">
        <f>SUM(617+569)</f>
        <v>1186</v>
      </c>
      <c r="G18" s="21">
        <f>SUM(607+617)</f>
        <v>1224</v>
      </c>
      <c r="H18" s="22"/>
      <c r="I18" s="21">
        <f>SUM(599+558)</f>
        <v>1157</v>
      </c>
      <c r="J18" s="21">
        <f>SUM(645+585)</f>
        <v>1230</v>
      </c>
      <c r="K18" s="22"/>
      <c r="L18" s="22"/>
      <c r="M18" s="22"/>
      <c r="N18" s="21"/>
      <c r="O18" s="22"/>
      <c r="P18" s="22"/>
      <c r="Q18" s="22"/>
      <c r="R18" s="35">
        <f aca="true" t="shared" si="3" ref="R18:R25">IF(A18="","",AVERAGE(C18:Q18))</f>
        <v>1199.25</v>
      </c>
      <c r="S18" s="24">
        <f t="shared" si="1"/>
        <v>119.925</v>
      </c>
      <c r="T18" s="21" t="str">
        <f t="shared" si="0"/>
        <v>E</v>
      </c>
      <c r="V18" s="26" t="s">
        <v>43</v>
      </c>
    </row>
    <row r="19" spans="1:22" ht="12" customHeight="1">
      <c r="A19" s="27" t="s">
        <v>184</v>
      </c>
      <c r="B19" s="20" t="s">
        <v>185</v>
      </c>
      <c r="C19" s="22"/>
      <c r="D19" s="22"/>
      <c r="E19" s="21">
        <f>SUM(563+512)</f>
        <v>1075</v>
      </c>
      <c r="F19" s="21">
        <f>SUM(573+500)</f>
        <v>1073</v>
      </c>
      <c r="G19" s="21"/>
      <c r="H19" s="21">
        <f>SUM(571+542)</f>
        <v>1113</v>
      </c>
      <c r="I19" s="22"/>
      <c r="J19" s="21">
        <f>SUM(595+546)</f>
        <v>1141</v>
      </c>
      <c r="K19" s="21">
        <f>SUM(578+567)</f>
        <v>1145</v>
      </c>
      <c r="L19" s="22"/>
      <c r="M19" s="22"/>
      <c r="N19" s="28"/>
      <c r="O19" s="28"/>
      <c r="P19" s="28"/>
      <c r="Q19" s="28"/>
      <c r="R19" s="30">
        <f t="shared" si="3"/>
        <v>1109.4</v>
      </c>
      <c r="S19" s="24">
        <f t="shared" si="1"/>
        <v>110.94000000000001</v>
      </c>
      <c r="T19" s="21" t="str">
        <f t="shared" si="0"/>
        <v>F</v>
      </c>
      <c r="U19" s="33"/>
      <c r="V19" s="26" t="s">
        <v>78</v>
      </c>
    </row>
    <row r="20" spans="1:22" ht="12.75">
      <c r="A20" s="50" t="s">
        <v>244</v>
      </c>
      <c r="B20" s="51" t="s">
        <v>101</v>
      </c>
      <c r="C20" s="22"/>
      <c r="D20" s="22"/>
      <c r="E20" s="22"/>
      <c r="F20" s="22"/>
      <c r="G20" s="38">
        <f>SUM(461)</f>
        <v>461</v>
      </c>
      <c r="H20" s="22"/>
      <c r="I20" s="21"/>
      <c r="J20" s="22"/>
      <c r="K20" s="22"/>
      <c r="L20" s="22"/>
      <c r="M20" s="22"/>
      <c r="N20" s="28"/>
      <c r="O20" s="28"/>
      <c r="P20" s="28"/>
      <c r="Q20" s="28"/>
      <c r="R20" s="52">
        <f t="shared" si="3"/>
        <v>461</v>
      </c>
      <c r="S20" s="53">
        <f>IF(R20="","",R20/5)</f>
        <v>92.2</v>
      </c>
      <c r="T20" s="21" t="str">
        <f t="shared" si="0"/>
        <v>G</v>
      </c>
      <c r="V20" s="41"/>
    </row>
    <row r="21" spans="1:22" ht="12.75">
      <c r="A21" s="27" t="s">
        <v>186</v>
      </c>
      <c r="B21" s="27" t="s">
        <v>187</v>
      </c>
      <c r="C21" s="21">
        <f>SUM(575+538)</f>
        <v>1113</v>
      </c>
      <c r="D21" s="22"/>
      <c r="E21" s="21">
        <f>SUM(495+541)</f>
        <v>1036</v>
      </c>
      <c r="F21" s="21">
        <f>SUM(585+525)</f>
        <v>1110</v>
      </c>
      <c r="G21" s="21">
        <f>SUM(544+482)</f>
        <v>1026</v>
      </c>
      <c r="H21" s="21">
        <f>SUM(575+551)</f>
        <v>1126</v>
      </c>
      <c r="I21" s="22"/>
      <c r="J21" s="22"/>
      <c r="K21" s="22"/>
      <c r="L21" s="22"/>
      <c r="M21" s="22"/>
      <c r="N21" s="28"/>
      <c r="O21" s="28"/>
      <c r="P21" s="28"/>
      <c r="Q21" s="28"/>
      <c r="R21" s="35">
        <f t="shared" si="3"/>
        <v>1082.2</v>
      </c>
      <c r="S21" s="24">
        <f>IF(R21="","",R21/10)</f>
        <v>108.22</v>
      </c>
      <c r="T21" s="21" t="str">
        <f t="shared" si="0"/>
        <v>F</v>
      </c>
      <c r="U21" s="25"/>
      <c r="V21" s="26" t="s">
        <v>188</v>
      </c>
    </row>
    <row r="22" spans="1:22" ht="12.75">
      <c r="A22" s="34" t="s">
        <v>149</v>
      </c>
      <c r="B22" s="34" t="s">
        <v>28</v>
      </c>
      <c r="C22" s="22"/>
      <c r="D22" s="22"/>
      <c r="E22" s="21"/>
      <c r="F22" s="21">
        <f>SUM(600+600)</f>
        <v>1200</v>
      </c>
      <c r="G22" s="22"/>
      <c r="H22" s="22"/>
      <c r="I22" s="21">
        <f>SUM(600+600)</f>
        <v>1200</v>
      </c>
      <c r="J22" s="22"/>
      <c r="K22" s="21">
        <f>SUM(577+618)</f>
        <v>1195</v>
      </c>
      <c r="L22" s="22"/>
      <c r="M22" s="22"/>
      <c r="N22" s="21"/>
      <c r="O22" s="22"/>
      <c r="P22" s="22"/>
      <c r="Q22" s="22"/>
      <c r="R22" s="35">
        <f t="shared" si="3"/>
        <v>1198.3333333333333</v>
      </c>
      <c r="S22" s="24">
        <f>IF(R22="","",R22/10)</f>
        <v>119.83333333333333</v>
      </c>
      <c r="T22" s="21" t="str">
        <f t="shared" si="0"/>
        <v>E</v>
      </c>
      <c r="V22" s="40" t="s">
        <v>23</v>
      </c>
    </row>
    <row r="23" spans="1:22" ht="12.75">
      <c r="A23" s="27" t="s">
        <v>150</v>
      </c>
      <c r="B23" s="27" t="s">
        <v>151</v>
      </c>
      <c r="C23" s="22"/>
      <c r="D23" s="21"/>
      <c r="E23" s="21"/>
      <c r="F23" s="21"/>
      <c r="G23" s="21"/>
      <c r="H23" s="21">
        <f>SUM(583+604)</f>
        <v>1187</v>
      </c>
      <c r="I23" s="21"/>
      <c r="J23" s="21"/>
      <c r="K23" s="21"/>
      <c r="L23" s="22"/>
      <c r="M23" s="22"/>
      <c r="N23" s="28"/>
      <c r="O23" s="28"/>
      <c r="P23" s="28"/>
      <c r="Q23" s="28"/>
      <c r="R23" s="30">
        <f t="shared" si="3"/>
        <v>1187</v>
      </c>
      <c r="S23" s="24">
        <f>IF(R23="","",R23/10)</f>
        <v>118.7</v>
      </c>
      <c r="T23" s="21" t="str">
        <f t="shared" si="0"/>
        <v>E</v>
      </c>
      <c r="U23" s="33"/>
      <c r="V23" s="26" t="s">
        <v>26</v>
      </c>
    </row>
    <row r="24" spans="1:22" ht="12.75">
      <c r="A24" s="27" t="s">
        <v>10</v>
      </c>
      <c r="B24" s="27" t="s">
        <v>11</v>
      </c>
      <c r="C24" s="21">
        <f>SUM(685+650)</f>
        <v>1335</v>
      </c>
      <c r="D24" s="21">
        <f>SUM(678+708)</f>
        <v>1386</v>
      </c>
      <c r="E24" s="21">
        <f>SUM(695+648)</f>
        <v>1343</v>
      </c>
      <c r="F24" s="21">
        <f>SUM(708+656)</f>
        <v>1364</v>
      </c>
      <c r="G24" s="21">
        <f>SUM(708+626)</f>
        <v>1334</v>
      </c>
      <c r="H24" s="21">
        <f>SUM(682+695)</f>
        <v>1377</v>
      </c>
      <c r="I24" s="21">
        <f>SUM(695+636)</f>
        <v>1331</v>
      </c>
      <c r="J24" s="21">
        <f>SUM(709+610)</f>
        <v>1319</v>
      </c>
      <c r="K24" s="21">
        <f>SUM(699+695)</f>
        <v>1394</v>
      </c>
      <c r="L24" s="22"/>
      <c r="M24" s="22"/>
      <c r="N24" s="28"/>
      <c r="O24" s="28"/>
      <c r="P24" s="28"/>
      <c r="Q24" s="29"/>
      <c r="R24" s="35">
        <f t="shared" si="3"/>
        <v>1353.6666666666667</v>
      </c>
      <c r="S24" s="24">
        <f>IF(R24="","",R24/10)</f>
        <v>135.36666666666667</v>
      </c>
      <c r="T24" s="31" t="str">
        <f>IF(AND(S24&gt;=134,S24&lt;=148),"A",IF(AND(S24&gt;=130,S24&lt;=133.99),"B",IF(AND(S24&gt;=126,S24&lt;=129.99),"C",IF(AND(S24&gt;=121,S24&lt;=125.99),"D",IF(AND(S24&gt;=115,S24&lt;=120.99),"E",IF(AND(S24&gt;=108,S24&lt;=115.99),"F",IF(AND(S24&gt;=0,S24&lt;=107.99),"G","")))))))</f>
        <v>A</v>
      </c>
      <c r="U24" s="32"/>
      <c r="V24" s="26" t="s">
        <v>12</v>
      </c>
    </row>
    <row r="25" spans="1:22" ht="12.75">
      <c r="A25" s="34" t="s">
        <v>10</v>
      </c>
      <c r="B25" s="34" t="s">
        <v>89</v>
      </c>
      <c r="C25" s="21">
        <f>SUM(666+657)</f>
        <v>1323</v>
      </c>
      <c r="D25" s="21">
        <f>SUM(669+686)</f>
        <v>1355</v>
      </c>
      <c r="E25" s="21">
        <f>SUM(624+530)</f>
        <v>1154</v>
      </c>
      <c r="F25" s="21">
        <f>SUM(695+590)</f>
        <v>1285</v>
      </c>
      <c r="G25" s="21">
        <f>SUM(674+626)</f>
        <v>1300</v>
      </c>
      <c r="H25" s="21">
        <f>SUM(677+620)</f>
        <v>1297</v>
      </c>
      <c r="I25" s="21">
        <f>SUM(646+640)</f>
        <v>1286</v>
      </c>
      <c r="J25" s="21">
        <f>SUM(681+671)</f>
        <v>1352</v>
      </c>
      <c r="K25" s="21">
        <f>SUM(688+635)</f>
        <v>1323</v>
      </c>
      <c r="L25" s="22"/>
      <c r="M25" s="22"/>
      <c r="N25" s="22"/>
      <c r="O25" s="22"/>
      <c r="P25" s="22"/>
      <c r="Q25" s="22"/>
      <c r="R25" s="35">
        <f t="shared" si="3"/>
        <v>1297.2222222222222</v>
      </c>
      <c r="S25" s="24">
        <f>IF(R25="","",R25/10)</f>
        <v>129.72222222222223</v>
      </c>
      <c r="T25" s="21" t="str">
        <f aca="true" t="shared" si="4" ref="T25:T47">IF(AND(S25&gt;=134,S25&lt;=148),"A",IF(AND(S25&gt;=130,S25&lt;=133.99),"B",IF(AND(S25&gt;=126,S25&lt;=129.99),"C",IF(AND(S25&gt;=121,S25&lt;=125.99),"D",IF(AND(S25&gt;=115,S25&lt;=120.99),"E",IF(AND(S25&gt;=108,S25&lt;=114.99),"F",IF(AND(S25&gt;=0,S25&lt;=107.99),"G","")))))))</f>
        <v>C</v>
      </c>
      <c r="V25" s="26" t="s">
        <v>12</v>
      </c>
    </row>
    <row r="26" spans="1:22" ht="12.75">
      <c r="A26" s="27" t="s">
        <v>13</v>
      </c>
      <c r="B26" s="27" t="s">
        <v>14</v>
      </c>
      <c r="C26" s="21">
        <f>SUM(717+700)</f>
        <v>1417</v>
      </c>
      <c r="D26" s="21">
        <f>SUM(714+720)</f>
        <v>1434</v>
      </c>
      <c r="E26" s="22"/>
      <c r="F26" s="21">
        <f>SUM(724+721)</f>
        <v>1445</v>
      </c>
      <c r="G26" s="21">
        <f>SUM(705)</f>
        <v>705</v>
      </c>
      <c r="H26" s="22"/>
      <c r="I26" s="21">
        <f>SUM(704+715)</f>
        <v>1419</v>
      </c>
      <c r="J26" s="22"/>
      <c r="K26" s="21">
        <f>SUM(720+672)</f>
        <v>1392</v>
      </c>
      <c r="L26" s="22"/>
      <c r="M26" s="22"/>
      <c r="N26" s="28"/>
      <c r="O26" s="28"/>
      <c r="P26" s="28"/>
      <c r="Q26" s="28"/>
      <c r="R26" s="30">
        <f>IF(A26="","",SUM(C26:Q26))</f>
        <v>7812</v>
      </c>
      <c r="S26" s="24">
        <f>IF(R26="","",R26/55)</f>
        <v>142.03636363636363</v>
      </c>
      <c r="T26" s="21" t="str">
        <f t="shared" si="4"/>
        <v>A</v>
      </c>
      <c r="U26" s="33"/>
      <c r="V26" s="26" t="s">
        <v>15</v>
      </c>
    </row>
    <row r="27" spans="1:23" ht="12.75">
      <c r="A27" s="27" t="s">
        <v>152</v>
      </c>
      <c r="B27" s="34" t="s">
        <v>148</v>
      </c>
      <c r="C27" s="21">
        <f>SUM(619+537)</f>
        <v>1156</v>
      </c>
      <c r="D27" s="21">
        <f>SUM(593+518)</f>
        <v>1111</v>
      </c>
      <c r="E27" s="21">
        <f>SUM(586+604)</f>
        <v>1190</v>
      </c>
      <c r="F27" s="21">
        <f>SUM(585+565)</f>
        <v>1150</v>
      </c>
      <c r="G27" s="21">
        <f>SUM(598+537)</f>
        <v>1135</v>
      </c>
      <c r="H27" s="21"/>
      <c r="I27" s="21"/>
      <c r="J27" s="21"/>
      <c r="K27" s="21">
        <f>SUM(615+569)</f>
        <v>1184</v>
      </c>
      <c r="L27" s="22"/>
      <c r="M27" s="22"/>
      <c r="N27" s="28"/>
      <c r="O27" s="28"/>
      <c r="P27" s="28"/>
      <c r="Q27" s="28"/>
      <c r="R27" s="62">
        <f>IF(A27="","",AVERAGE(C27:Q27))</f>
        <v>1154.3333333333333</v>
      </c>
      <c r="S27" s="24">
        <f>IF(R27="","",R27/10)</f>
        <v>115.43333333333332</v>
      </c>
      <c r="T27" s="21" t="str">
        <f t="shared" si="4"/>
        <v>E</v>
      </c>
      <c r="V27" s="26" t="s">
        <v>20</v>
      </c>
      <c r="W27">
        <v>2</v>
      </c>
    </row>
    <row r="28" spans="1:22" ht="12.75">
      <c r="A28" s="27" t="s">
        <v>16</v>
      </c>
      <c r="B28" s="27" t="s">
        <v>17</v>
      </c>
      <c r="C28" s="21">
        <f>SUM(667)</f>
        <v>667</v>
      </c>
      <c r="D28" s="21">
        <f>SUM(679+698)</f>
        <v>1377</v>
      </c>
      <c r="E28" s="21">
        <f>SUM(696+697)</f>
        <v>1393</v>
      </c>
      <c r="F28" s="21">
        <f>SUM(688+665)</f>
        <v>1353</v>
      </c>
      <c r="G28" s="21">
        <f>SUM(697+608)</f>
        <v>1305</v>
      </c>
      <c r="H28" s="21"/>
      <c r="I28" s="21">
        <f>SUM(703+695)</f>
        <v>1398</v>
      </c>
      <c r="J28" s="21">
        <f>SUM(695+687)</f>
        <v>1382</v>
      </c>
      <c r="K28" s="21">
        <f>SUM(710+659)</f>
        <v>1369</v>
      </c>
      <c r="L28" s="22"/>
      <c r="M28" s="22"/>
      <c r="N28" s="28"/>
      <c r="O28" s="28"/>
      <c r="P28" s="28"/>
      <c r="Q28" s="28"/>
      <c r="R28" s="30">
        <f>IF(A28="","",SUM(C28:Q28))</f>
        <v>10244</v>
      </c>
      <c r="S28" s="24">
        <f>IF(R28="","",R28/75)</f>
        <v>136.58666666666667</v>
      </c>
      <c r="T28" s="21" t="str">
        <f t="shared" si="4"/>
        <v>A</v>
      </c>
      <c r="V28" s="26" t="s">
        <v>15</v>
      </c>
    </row>
    <row r="29" spans="1:22" ht="12.75">
      <c r="A29" s="27" t="s">
        <v>245</v>
      </c>
      <c r="B29" s="27" t="s">
        <v>246</v>
      </c>
      <c r="C29" s="21"/>
      <c r="D29" s="22"/>
      <c r="E29" s="22"/>
      <c r="F29" s="22"/>
      <c r="G29" s="21">
        <f>SUM(513+535)</f>
        <v>1048</v>
      </c>
      <c r="H29" s="22"/>
      <c r="I29" s="22"/>
      <c r="J29" s="22"/>
      <c r="K29" s="21"/>
      <c r="L29" s="22"/>
      <c r="M29" s="22"/>
      <c r="N29" s="28"/>
      <c r="O29" s="28"/>
      <c r="P29" s="28"/>
      <c r="Q29" s="28"/>
      <c r="R29" s="35">
        <f aca="true" t="shared" si="5" ref="R29:R37">IF(A29="","",AVERAGE(C29:Q29))</f>
        <v>1048</v>
      </c>
      <c r="S29" s="24">
        <f aca="true" t="shared" si="6" ref="S29:S43">IF(R29="","",R29/10)</f>
        <v>104.8</v>
      </c>
      <c r="T29" s="21" t="str">
        <f t="shared" si="4"/>
        <v>G</v>
      </c>
      <c r="V29" s="26" t="s">
        <v>43</v>
      </c>
    </row>
    <row r="30" spans="1:22" ht="12.75">
      <c r="A30" s="34" t="s">
        <v>189</v>
      </c>
      <c r="B30" s="34" t="s">
        <v>190</v>
      </c>
      <c r="C30" s="22"/>
      <c r="D30" s="22"/>
      <c r="E30" s="21">
        <f>SUM(521+561)</f>
        <v>1082</v>
      </c>
      <c r="F30" s="22"/>
      <c r="G30" s="21">
        <f>SUM(556+559)</f>
        <v>1115</v>
      </c>
      <c r="H30" s="21">
        <f>SUM(596+574)</f>
        <v>1170</v>
      </c>
      <c r="I30" s="21">
        <f>SUM(578+573)</f>
        <v>1151</v>
      </c>
      <c r="J30" s="21">
        <f>SUM(607+584)</f>
        <v>1191</v>
      </c>
      <c r="K30" s="21">
        <f>SUM(586+588)</f>
        <v>1174</v>
      </c>
      <c r="L30" s="22"/>
      <c r="M30" s="22"/>
      <c r="N30" s="22"/>
      <c r="O30" s="22"/>
      <c r="P30" s="22"/>
      <c r="Q30" s="22"/>
      <c r="R30" s="35">
        <f t="shared" si="5"/>
        <v>1147.1666666666667</v>
      </c>
      <c r="S30" s="24">
        <f t="shared" si="6"/>
        <v>114.71666666666667</v>
      </c>
      <c r="T30" s="21" t="str">
        <f t="shared" si="4"/>
        <v>F</v>
      </c>
      <c r="V30" s="26" t="s">
        <v>61</v>
      </c>
    </row>
    <row r="31" spans="1:22" ht="12.75">
      <c r="A31" s="27" t="s">
        <v>55</v>
      </c>
      <c r="B31" s="27" t="s">
        <v>19</v>
      </c>
      <c r="C31" s="21">
        <f>SUM(665+665)</f>
        <v>1330</v>
      </c>
      <c r="D31" s="22"/>
      <c r="E31" s="22"/>
      <c r="F31" s="22"/>
      <c r="G31" s="22"/>
      <c r="H31" s="22"/>
      <c r="I31" s="21"/>
      <c r="J31" s="22"/>
      <c r="K31" s="22"/>
      <c r="L31" s="22"/>
      <c r="M31" s="22"/>
      <c r="N31" s="28"/>
      <c r="O31" s="28"/>
      <c r="P31" s="28"/>
      <c r="Q31" s="28"/>
      <c r="R31" s="29">
        <f t="shared" si="5"/>
        <v>1330</v>
      </c>
      <c r="S31" s="24">
        <f t="shared" si="6"/>
        <v>133</v>
      </c>
      <c r="T31" s="21" t="str">
        <f t="shared" si="4"/>
        <v>B</v>
      </c>
      <c r="V31" s="40" t="s">
        <v>56</v>
      </c>
    </row>
    <row r="32" spans="1:22" ht="12.75">
      <c r="A32" s="27" t="s">
        <v>55</v>
      </c>
      <c r="B32" s="27" t="s">
        <v>90</v>
      </c>
      <c r="C32" s="29">
        <f>SUM(635+635)</f>
        <v>1270</v>
      </c>
      <c r="D32" s="28"/>
      <c r="E32" s="28"/>
      <c r="F32" s="28"/>
      <c r="G32" s="28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7">
        <f t="shared" si="5"/>
        <v>1270</v>
      </c>
      <c r="S32" s="24">
        <f t="shared" si="6"/>
        <v>127</v>
      </c>
      <c r="T32" s="21" t="str">
        <f t="shared" si="4"/>
        <v>C</v>
      </c>
      <c r="U32" s="33"/>
      <c r="V32" s="26" t="s">
        <v>56</v>
      </c>
    </row>
    <row r="33" spans="1:22" ht="12.75">
      <c r="A33" s="27" t="s">
        <v>91</v>
      </c>
      <c r="B33" s="19" t="s">
        <v>31</v>
      </c>
      <c r="C33" s="22"/>
      <c r="D33" s="22"/>
      <c r="E33" s="21">
        <f>SUM(626+616)</f>
        <v>1242</v>
      </c>
      <c r="F33" s="21"/>
      <c r="G33" s="22"/>
      <c r="H33" s="21">
        <f>SUM(635+582)</f>
        <v>1217</v>
      </c>
      <c r="I33" s="21">
        <f>SUM(642+651)</f>
        <v>1293</v>
      </c>
      <c r="J33" s="21">
        <f>SUM(657+619)</f>
        <v>1276</v>
      </c>
      <c r="K33" s="21">
        <f>SUM(632+646)</f>
        <v>1278</v>
      </c>
      <c r="L33" s="22"/>
      <c r="M33" s="22"/>
      <c r="N33" s="28"/>
      <c r="O33" s="28"/>
      <c r="P33" s="28"/>
      <c r="Q33" s="28"/>
      <c r="R33" s="35">
        <f t="shared" si="5"/>
        <v>1261.2</v>
      </c>
      <c r="S33" s="24">
        <f t="shared" si="6"/>
        <v>126.12</v>
      </c>
      <c r="T33" s="21" t="str">
        <f t="shared" si="4"/>
        <v>C</v>
      </c>
      <c r="V33" s="26" t="s">
        <v>61</v>
      </c>
    </row>
    <row r="34" spans="1:22" ht="12.75">
      <c r="A34" s="19" t="s">
        <v>57</v>
      </c>
      <c r="B34" s="19" t="s">
        <v>58</v>
      </c>
      <c r="C34" s="21"/>
      <c r="D34" s="21"/>
      <c r="E34" s="21"/>
      <c r="F34" s="21"/>
      <c r="G34" s="21"/>
      <c r="H34" s="21"/>
      <c r="I34" s="21">
        <f>SUM(665+665)</f>
        <v>1330</v>
      </c>
      <c r="J34" s="21"/>
      <c r="K34" s="21"/>
      <c r="L34" s="22"/>
      <c r="M34" s="22"/>
      <c r="N34" s="22"/>
      <c r="O34" s="22"/>
      <c r="P34" s="22"/>
      <c r="Q34" s="22"/>
      <c r="R34" s="37">
        <f t="shared" si="5"/>
        <v>1330</v>
      </c>
      <c r="S34" s="24">
        <f t="shared" si="6"/>
        <v>133</v>
      </c>
      <c r="T34" s="21" t="str">
        <f t="shared" si="4"/>
        <v>B</v>
      </c>
      <c r="V34" s="49"/>
    </row>
    <row r="35" spans="1:22" ht="12.75">
      <c r="A35" s="19" t="s">
        <v>247</v>
      </c>
      <c r="B35" s="20" t="s">
        <v>248</v>
      </c>
      <c r="C35" s="22"/>
      <c r="D35" s="22"/>
      <c r="E35" s="21">
        <f>SUM(548+474)</f>
        <v>1022</v>
      </c>
      <c r="F35" s="22"/>
      <c r="G35" s="22"/>
      <c r="H35" s="22"/>
      <c r="I35" s="21"/>
      <c r="J35" s="22"/>
      <c r="K35" s="22"/>
      <c r="L35" s="22"/>
      <c r="M35" s="22"/>
      <c r="N35" s="28"/>
      <c r="O35" s="28"/>
      <c r="P35" s="28"/>
      <c r="Q35" s="28"/>
      <c r="R35" s="29">
        <f t="shared" si="5"/>
        <v>1022</v>
      </c>
      <c r="S35" s="24">
        <f t="shared" si="6"/>
        <v>102.2</v>
      </c>
      <c r="T35" s="21" t="str">
        <f t="shared" si="4"/>
        <v>G</v>
      </c>
      <c r="V35" s="26" t="s">
        <v>156</v>
      </c>
    </row>
    <row r="36" spans="1:22" ht="12.75">
      <c r="A36" s="27" t="s">
        <v>18</v>
      </c>
      <c r="B36" s="34" t="s">
        <v>19</v>
      </c>
      <c r="C36" s="21">
        <f>SUM(710+646)</f>
        <v>1356</v>
      </c>
      <c r="D36" s="21">
        <f>SUM(681+656)</f>
        <v>1337</v>
      </c>
      <c r="E36" s="22"/>
      <c r="F36" s="21">
        <f>SUM(715+632)</f>
        <v>1347</v>
      </c>
      <c r="G36" s="21">
        <f>SUM(706+658)</f>
        <v>1364</v>
      </c>
      <c r="H36" s="21"/>
      <c r="I36" s="21">
        <f>SUM(702+665)</f>
        <v>1367</v>
      </c>
      <c r="J36" s="21">
        <f>SUM(714+639)</f>
        <v>1353</v>
      </c>
      <c r="K36" s="21">
        <f>SUM(686+673)</f>
        <v>1359</v>
      </c>
      <c r="L36" s="22"/>
      <c r="M36" s="22"/>
      <c r="N36" s="28"/>
      <c r="O36" s="28"/>
      <c r="P36" s="28"/>
      <c r="Q36" s="28"/>
      <c r="R36" s="30">
        <f t="shared" si="5"/>
        <v>1354.7142857142858</v>
      </c>
      <c r="S36" s="24">
        <f t="shared" si="6"/>
        <v>135.4714285714286</v>
      </c>
      <c r="T36" s="21" t="str">
        <f t="shared" si="4"/>
        <v>A</v>
      </c>
      <c r="V36" s="26" t="s">
        <v>20</v>
      </c>
    </row>
    <row r="37" spans="1:22" ht="12.75">
      <c r="A37" s="27" t="s">
        <v>18</v>
      </c>
      <c r="B37" s="34" t="s">
        <v>119</v>
      </c>
      <c r="C37" s="22"/>
      <c r="D37" s="21">
        <f>SUM(641+553)</f>
        <v>1194</v>
      </c>
      <c r="E37" s="22"/>
      <c r="F37" s="21">
        <f>SUM(643+566)</f>
        <v>1209</v>
      </c>
      <c r="G37" s="21">
        <f>SUM(634+594)</f>
        <v>1228</v>
      </c>
      <c r="H37" s="22"/>
      <c r="I37" s="21"/>
      <c r="J37" s="22"/>
      <c r="K37" s="21">
        <f>SUM(658+657)</f>
        <v>1315</v>
      </c>
      <c r="L37" s="22"/>
      <c r="M37" s="22"/>
      <c r="N37" s="28"/>
      <c r="O37" s="28"/>
      <c r="P37" s="28"/>
      <c r="Q37" s="28"/>
      <c r="R37" s="35">
        <f t="shared" si="5"/>
        <v>1236.5</v>
      </c>
      <c r="S37" s="24">
        <f t="shared" si="6"/>
        <v>123.65</v>
      </c>
      <c r="T37" s="21" t="str">
        <f t="shared" si="4"/>
        <v>D</v>
      </c>
      <c r="V37" s="40" t="s">
        <v>20</v>
      </c>
    </row>
    <row r="38" spans="1:22" ht="12.75">
      <c r="A38" s="27" t="s">
        <v>249</v>
      </c>
      <c r="B38" s="27" t="s">
        <v>250</v>
      </c>
      <c r="C38" s="22"/>
      <c r="D38" s="21"/>
      <c r="E38" s="21"/>
      <c r="F38" s="21"/>
      <c r="G38" s="21">
        <f>SUM(444+408)</f>
        <v>852</v>
      </c>
      <c r="H38" s="21"/>
      <c r="I38" s="22"/>
      <c r="J38" s="22"/>
      <c r="K38" s="22"/>
      <c r="L38" s="22"/>
      <c r="M38" s="22"/>
      <c r="N38" s="28"/>
      <c r="O38" s="28"/>
      <c r="P38" s="28"/>
      <c r="Q38" s="28"/>
      <c r="R38" s="7">
        <f>IF(A38="","",SUM(C38:Q38))</f>
        <v>852</v>
      </c>
      <c r="S38" s="24">
        <f t="shared" si="6"/>
        <v>85.2</v>
      </c>
      <c r="T38" s="21" t="str">
        <f t="shared" si="4"/>
        <v>G</v>
      </c>
      <c r="V38" s="41"/>
    </row>
    <row r="39" spans="1:22" ht="12.75">
      <c r="A39" s="19" t="s">
        <v>120</v>
      </c>
      <c r="B39" s="20" t="s">
        <v>121</v>
      </c>
      <c r="C39" s="22"/>
      <c r="D39" s="22"/>
      <c r="E39" s="21"/>
      <c r="F39" s="21">
        <f>SUM(657+592)</f>
        <v>1249</v>
      </c>
      <c r="G39" s="21"/>
      <c r="H39" s="22"/>
      <c r="I39" s="21">
        <f>SUM(618+556)</f>
        <v>1174</v>
      </c>
      <c r="J39" s="21">
        <f>SUM(623+589)</f>
        <v>1212</v>
      </c>
      <c r="K39" s="21"/>
      <c r="L39" s="22"/>
      <c r="M39" s="22"/>
      <c r="N39" s="22"/>
      <c r="O39" s="22"/>
      <c r="P39" s="22"/>
      <c r="Q39" s="22"/>
      <c r="R39" s="35">
        <f>IF(A39="","",AVERAGE(C39:Q39))</f>
        <v>1211.6666666666667</v>
      </c>
      <c r="S39" s="24">
        <f t="shared" si="6"/>
        <v>121.16666666666667</v>
      </c>
      <c r="T39" s="21" t="str">
        <f t="shared" si="4"/>
        <v>D</v>
      </c>
      <c r="V39" s="26" t="s">
        <v>97</v>
      </c>
    </row>
    <row r="40" spans="1:22" ht="12.75">
      <c r="A40" s="34" t="s">
        <v>92</v>
      </c>
      <c r="B40" s="34" t="s">
        <v>93</v>
      </c>
      <c r="C40" s="21">
        <f>SUM(678+597)</f>
        <v>1275</v>
      </c>
      <c r="D40" s="21">
        <f>SUM(670+618)</f>
        <v>1288</v>
      </c>
      <c r="E40" s="21">
        <f>SUM(621+575)</f>
        <v>1196</v>
      </c>
      <c r="F40" s="21">
        <f>SUM(650+631)</f>
        <v>1281</v>
      </c>
      <c r="G40" s="21">
        <f>SUM(688+631)</f>
        <v>1319</v>
      </c>
      <c r="H40" s="21">
        <f>SUM(633+612)</f>
        <v>1245</v>
      </c>
      <c r="I40" s="21"/>
      <c r="J40" s="22"/>
      <c r="K40" s="22"/>
      <c r="L40" s="22"/>
      <c r="M40" s="22"/>
      <c r="N40" s="21"/>
      <c r="O40" s="22"/>
      <c r="P40" s="22"/>
      <c r="Q40" s="22"/>
      <c r="R40" s="35">
        <f>IF(A40="","",AVERAGE(C40:Q40))</f>
        <v>1267.3333333333333</v>
      </c>
      <c r="S40" s="24">
        <f t="shared" si="6"/>
        <v>126.73333333333332</v>
      </c>
      <c r="T40" s="21" t="str">
        <f t="shared" si="4"/>
        <v>C</v>
      </c>
      <c r="U40" s="32"/>
      <c r="V40" s="26" t="s">
        <v>26</v>
      </c>
    </row>
    <row r="41" spans="1:22" ht="12.75">
      <c r="A41" s="27" t="s">
        <v>122</v>
      </c>
      <c r="B41" s="20" t="s">
        <v>123</v>
      </c>
      <c r="C41" s="22"/>
      <c r="D41" s="22"/>
      <c r="E41" s="21"/>
      <c r="F41" s="21"/>
      <c r="G41" s="21">
        <f>SUM(638+582)</f>
        <v>1220</v>
      </c>
      <c r="H41" s="21">
        <f>SUM(634+569)</f>
        <v>1203</v>
      </c>
      <c r="I41" s="21">
        <f>SUM(638+611)</f>
        <v>1249</v>
      </c>
      <c r="J41" s="21">
        <f>SUM(661+603)</f>
        <v>1264</v>
      </c>
      <c r="K41" s="21"/>
      <c r="L41" s="22"/>
      <c r="M41" s="22"/>
      <c r="N41" s="28"/>
      <c r="O41" s="28"/>
      <c r="P41" s="28"/>
      <c r="Q41" s="28"/>
      <c r="R41" s="35">
        <f>IF(A41="","",AVERAGE(C41:Q41))</f>
        <v>1234</v>
      </c>
      <c r="S41" s="24">
        <f t="shared" si="6"/>
        <v>123.4</v>
      </c>
      <c r="T41" s="21" t="str">
        <f t="shared" si="4"/>
        <v>D</v>
      </c>
      <c r="U41" s="33"/>
      <c r="V41" s="26" t="s">
        <v>23</v>
      </c>
    </row>
    <row r="42" spans="1:22" ht="12.75">
      <c r="A42" s="27" t="s">
        <v>59</v>
      </c>
      <c r="B42" s="34" t="s">
        <v>60</v>
      </c>
      <c r="C42" s="21">
        <f>SUM(712+669)</f>
        <v>1381</v>
      </c>
      <c r="D42" s="21">
        <f>SUM(594+566)</f>
        <v>1160</v>
      </c>
      <c r="E42" s="21">
        <f>SUM(661+654)</f>
        <v>1315</v>
      </c>
      <c r="F42" s="21">
        <f>SUM(685+662)</f>
        <v>1347</v>
      </c>
      <c r="G42" s="21">
        <f>SUM(701+645)</f>
        <v>1346</v>
      </c>
      <c r="H42" s="21">
        <f>SUM(712+620)</f>
        <v>1332</v>
      </c>
      <c r="I42" s="21">
        <f>SUM(715+596)</f>
        <v>1311</v>
      </c>
      <c r="J42" s="21">
        <f>SUM(691+681)</f>
        <v>1372</v>
      </c>
      <c r="K42" s="22"/>
      <c r="L42" s="22"/>
      <c r="M42" s="22"/>
      <c r="N42" s="28"/>
      <c r="O42" s="28"/>
      <c r="P42" s="28"/>
      <c r="Q42" s="28"/>
      <c r="R42" s="30">
        <f>IF(A42="","",AVERAGE(C42:Q42))</f>
        <v>1320.5</v>
      </c>
      <c r="S42" s="24">
        <f t="shared" si="6"/>
        <v>132.05</v>
      </c>
      <c r="T42" s="21" t="str">
        <f t="shared" si="4"/>
        <v>B</v>
      </c>
      <c r="U42" s="25"/>
      <c r="V42" s="26" t="s">
        <v>61</v>
      </c>
    </row>
    <row r="43" spans="1:22" ht="12.75">
      <c r="A43" s="34" t="s">
        <v>59</v>
      </c>
      <c r="B43" s="34" t="s">
        <v>94</v>
      </c>
      <c r="C43" s="21">
        <f>SUM(625+599)</f>
        <v>1224</v>
      </c>
      <c r="D43" s="21">
        <f>SUM(639+612)</f>
        <v>1251</v>
      </c>
      <c r="E43" s="21">
        <f>SUM(661+624)</f>
        <v>1285</v>
      </c>
      <c r="F43" s="21">
        <f>SUM(630+610)</f>
        <v>1240</v>
      </c>
      <c r="G43" s="21"/>
      <c r="H43" s="21">
        <f>SUM(665+678)</f>
        <v>1343</v>
      </c>
      <c r="I43" s="22"/>
      <c r="J43" s="21"/>
      <c r="K43" s="21"/>
      <c r="L43" s="22"/>
      <c r="M43" s="22"/>
      <c r="N43" s="22"/>
      <c r="O43" s="22"/>
      <c r="P43" s="22"/>
      <c r="Q43" s="22"/>
      <c r="R43" s="30">
        <f>IF(A43="","",AVERAGE(C43:Q43))</f>
        <v>1268.6</v>
      </c>
      <c r="S43" s="24">
        <f t="shared" si="6"/>
        <v>126.85999999999999</v>
      </c>
      <c r="T43" s="21" t="str">
        <f t="shared" si="4"/>
        <v>C</v>
      </c>
      <c r="U43" s="25"/>
      <c r="V43" s="26" t="s">
        <v>61</v>
      </c>
    </row>
    <row r="44" spans="1:22" ht="12.75">
      <c r="A44" s="19" t="s">
        <v>191</v>
      </c>
      <c r="B44" s="20" t="s">
        <v>192</v>
      </c>
      <c r="C44" s="21">
        <f>SUM(547+549)</f>
        <v>1096</v>
      </c>
      <c r="D44" s="21">
        <f>SUM(567+542)</f>
        <v>1109</v>
      </c>
      <c r="E44" s="22"/>
      <c r="F44" s="21">
        <f>SUM(568+580)</f>
        <v>1148</v>
      </c>
      <c r="G44" s="21">
        <f>SUM(550+503)</f>
        <v>1053</v>
      </c>
      <c r="H44" s="21">
        <f>SUM(537)</f>
        <v>537</v>
      </c>
      <c r="I44" s="21">
        <f>SUM(549+556)</f>
        <v>1105</v>
      </c>
      <c r="J44" s="21">
        <f>SUM(606+570)</f>
        <v>1176</v>
      </c>
      <c r="K44" s="21">
        <f>SUM(544+510)</f>
        <v>1054</v>
      </c>
      <c r="L44" s="22"/>
      <c r="M44" s="22"/>
      <c r="N44" s="22"/>
      <c r="O44" s="22"/>
      <c r="P44" s="22"/>
      <c r="Q44" s="22"/>
      <c r="R44" s="30">
        <f>IF(A44="","",SUM(C44:Q44))</f>
        <v>8278</v>
      </c>
      <c r="S44" s="24">
        <f>IF(R44="","",R44/75)</f>
        <v>110.37333333333333</v>
      </c>
      <c r="T44" s="21" t="str">
        <f t="shared" si="4"/>
        <v>F</v>
      </c>
      <c r="U44" s="33"/>
      <c r="V44" s="26" t="s">
        <v>188</v>
      </c>
    </row>
    <row r="45" spans="1:22" ht="12.75">
      <c r="A45" s="27" t="s">
        <v>191</v>
      </c>
      <c r="B45" s="34" t="s">
        <v>135</v>
      </c>
      <c r="C45" s="21">
        <f>SUM(504+528)</f>
        <v>1032</v>
      </c>
      <c r="D45" s="22"/>
      <c r="E45" s="22"/>
      <c r="F45" s="21">
        <f>SUM(508+491)</f>
        <v>999</v>
      </c>
      <c r="G45" s="21">
        <f>SUM(524+498)</f>
        <v>1022</v>
      </c>
      <c r="H45" s="21">
        <f>SUM(492)</f>
        <v>492</v>
      </c>
      <c r="I45" s="21">
        <f>SUM(569+483)</f>
        <v>1052</v>
      </c>
      <c r="J45" s="21">
        <f>SUM(522+484)</f>
        <v>1006</v>
      </c>
      <c r="K45" s="21">
        <f>SUM(527+497)</f>
        <v>1024</v>
      </c>
      <c r="L45" s="22"/>
      <c r="M45" s="22"/>
      <c r="N45" s="28"/>
      <c r="O45" s="28"/>
      <c r="P45" s="28"/>
      <c r="Q45" s="28"/>
      <c r="R45" s="35">
        <f>IF(A45="","",SUM(C45:Q45))</f>
        <v>6627</v>
      </c>
      <c r="S45" s="24">
        <f>IF(R45="","",R45/65)</f>
        <v>101.95384615384616</v>
      </c>
      <c r="T45" s="21" t="str">
        <f t="shared" si="4"/>
        <v>G</v>
      </c>
      <c r="V45" s="26" t="s">
        <v>188</v>
      </c>
    </row>
    <row r="46" spans="1:22" ht="12.75">
      <c r="A46" s="27" t="s">
        <v>124</v>
      </c>
      <c r="B46" s="27" t="s">
        <v>74</v>
      </c>
      <c r="C46" s="22"/>
      <c r="D46" s="22"/>
      <c r="E46" s="22"/>
      <c r="F46" s="22"/>
      <c r="G46" s="22"/>
      <c r="H46" s="21">
        <f>SUM(628+601)</f>
        <v>1229</v>
      </c>
      <c r="I46" s="22"/>
      <c r="J46" s="22"/>
      <c r="K46" s="22"/>
      <c r="L46" s="22"/>
      <c r="M46" s="22"/>
      <c r="N46" s="28"/>
      <c r="O46" s="28"/>
      <c r="P46" s="28"/>
      <c r="Q46" s="28"/>
      <c r="R46" s="7">
        <f>IF(A46="","",AVERAGE(C46:Q46))</f>
        <v>1229</v>
      </c>
      <c r="S46" s="24">
        <f aca="true" t="shared" si="7" ref="S46:S56">IF(R46="","",R46/10)</f>
        <v>122.9</v>
      </c>
      <c r="T46" s="21" t="str">
        <f t="shared" si="4"/>
        <v>D</v>
      </c>
      <c r="V46" s="26" t="s">
        <v>9</v>
      </c>
    </row>
    <row r="47" spans="1:22" ht="12.75">
      <c r="A47" s="34" t="s">
        <v>193</v>
      </c>
      <c r="B47" s="34" t="s">
        <v>110</v>
      </c>
      <c r="C47" s="22"/>
      <c r="D47" s="21"/>
      <c r="E47" s="21"/>
      <c r="F47" s="21">
        <f>SUM(549+532)</f>
        <v>1081</v>
      </c>
      <c r="G47" s="21"/>
      <c r="H47" s="22"/>
      <c r="I47" s="21"/>
      <c r="J47" s="21"/>
      <c r="K47" s="21"/>
      <c r="L47" s="22"/>
      <c r="M47" s="22"/>
      <c r="N47" s="22"/>
      <c r="O47" s="22"/>
      <c r="P47" s="22"/>
      <c r="Q47" s="22"/>
      <c r="R47" s="62">
        <f>IF(A47="","",SUM(C47:Q47))</f>
        <v>1081</v>
      </c>
      <c r="S47" s="24">
        <f t="shared" si="7"/>
        <v>108.1</v>
      </c>
      <c r="T47" s="21" t="str">
        <f t="shared" si="4"/>
        <v>F</v>
      </c>
      <c r="V47" s="26" t="s">
        <v>20</v>
      </c>
    </row>
    <row r="48" spans="1:22" ht="12.75">
      <c r="A48" s="27" t="s">
        <v>251</v>
      </c>
      <c r="B48" s="27" t="s">
        <v>252</v>
      </c>
      <c r="C48" s="22"/>
      <c r="D48" s="22"/>
      <c r="E48" s="22"/>
      <c r="F48" s="22"/>
      <c r="G48" s="22"/>
      <c r="H48" s="22"/>
      <c r="I48" s="22"/>
      <c r="J48" s="21">
        <f>SUM(499+519)</f>
        <v>1018</v>
      </c>
      <c r="K48" s="22"/>
      <c r="L48" s="22"/>
      <c r="M48" s="22"/>
      <c r="N48" s="28"/>
      <c r="O48" s="28"/>
      <c r="P48" s="28"/>
      <c r="Q48" s="28"/>
      <c r="R48" s="29">
        <f aca="true" t="shared" si="8" ref="R48:R55">IF(A48="","",AVERAGE(C48:Q48))</f>
        <v>1018</v>
      </c>
      <c r="S48" s="24">
        <f t="shared" si="7"/>
        <v>101.8</v>
      </c>
      <c r="T48" s="21" t="str">
        <f>IF(AND(S48&gt;=133,S48&lt;=148),"A",IF(AND(S48&gt;=128,S48&lt;=132.99),"B",IF(AND(S48&gt;=123,S48&lt;=127.99),"C",IF(AND(S48&gt;=118,S48&lt;=122.99),"D",IF(AND(S48&gt;=113,S48&lt;=117.99),"E",IF(AND(S48&gt;=108,S48&lt;=112.99),"F",IF(AND(S48&gt;=0,S48&lt;=107.99),"G","")))))))</f>
        <v>G</v>
      </c>
      <c r="V48" s="26" t="s">
        <v>97</v>
      </c>
    </row>
    <row r="49" spans="1:22" ht="12.75">
      <c r="A49" s="19" t="s">
        <v>194</v>
      </c>
      <c r="B49" s="19" t="s">
        <v>195</v>
      </c>
      <c r="C49" s="21">
        <f>SUM(585+510)</f>
        <v>1095</v>
      </c>
      <c r="D49" s="21">
        <f>SUM(568+572)</f>
        <v>1140</v>
      </c>
      <c r="E49" s="22"/>
      <c r="F49" s="22"/>
      <c r="G49" s="21">
        <f>SUM(588+539)</f>
        <v>1127</v>
      </c>
      <c r="H49" s="21">
        <f>SUM(595+544)</f>
        <v>1139</v>
      </c>
      <c r="I49" s="22"/>
      <c r="J49" s="22"/>
      <c r="K49" s="22"/>
      <c r="L49" s="22"/>
      <c r="M49" s="22"/>
      <c r="N49" s="22"/>
      <c r="O49" s="22"/>
      <c r="P49" s="22"/>
      <c r="Q49" s="22"/>
      <c r="R49" s="30">
        <f t="shared" si="8"/>
        <v>1125.25</v>
      </c>
      <c r="S49" s="24">
        <f t="shared" si="7"/>
        <v>112.525</v>
      </c>
      <c r="T49" s="21" t="str">
        <f aca="true" t="shared" si="9" ref="T49:T83">IF(AND(S49&gt;=134,S49&lt;=148),"A",IF(AND(S49&gt;=130,S49&lt;=133.99),"B",IF(AND(S49&gt;=126,S49&lt;=129.99),"C",IF(AND(S49&gt;=121,S49&lt;=125.99),"D",IF(AND(S49&gt;=115,S49&lt;=120.99),"E",IF(AND(S49&gt;=108,S49&lt;=114.99),"F",IF(AND(S49&gt;=0,S49&lt;=107.99),"G","")))))))</f>
        <v>F</v>
      </c>
      <c r="V49" s="26" t="s">
        <v>81</v>
      </c>
    </row>
    <row r="50" spans="1:22" ht="12.75">
      <c r="A50" s="27" t="s">
        <v>95</v>
      </c>
      <c r="B50" s="20" t="s">
        <v>96</v>
      </c>
      <c r="C50" s="21">
        <f>SUM(654+629)</f>
        <v>1283</v>
      </c>
      <c r="D50" s="22"/>
      <c r="E50" s="21">
        <f>SUM(625+614)</f>
        <v>1239</v>
      </c>
      <c r="F50" s="21">
        <f>SUM(670+616)</f>
        <v>1286</v>
      </c>
      <c r="G50" s="21">
        <f>SUM(658+640)</f>
        <v>1298</v>
      </c>
      <c r="H50" s="21">
        <f>SUM(665+588)</f>
        <v>1253</v>
      </c>
      <c r="I50" s="21">
        <f>SUM(644+631)</f>
        <v>1275</v>
      </c>
      <c r="J50" s="21">
        <f>SUM(659+620)</f>
        <v>1279</v>
      </c>
      <c r="K50" s="21">
        <f>SUM(665+572)</f>
        <v>1237</v>
      </c>
      <c r="L50" s="22"/>
      <c r="M50" s="22"/>
      <c r="N50" s="28"/>
      <c r="O50" s="43"/>
      <c r="P50" s="28"/>
      <c r="Q50" s="28"/>
      <c r="R50" s="23">
        <f t="shared" si="8"/>
        <v>1268.75</v>
      </c>
      <c r="S50" s="24">
        <f t="shared" si="7"/>
        <v>126.875</v>
      </c>
      <c r="T50" s="21" t="str">
        <f t="shared" si="9"/>
        <v>C</v>
      </c>
      <c r="U50" s="25"/>
      <c r="V50" s="26" t="s">
        <v>97</v>
      </c>
    </row>
    <row r="51" spans="1:22" ht="12.75">
      <c r="A51" s="34" t="s">
        <v>196</v>
      </c>
      <c r="B51" s="34" t="s">
        <v>197</v>
      </c>
      <c r="C51" s="22"/>
      <c r="D51" s="22"/>
      <c r="E51" s="21"/>
      <c r="F51" s="22"/>
      <c r="G51" s="22"/>
      <c r="H51" s="21">
        <f>SUM(560+524)</f>
        <v>1084</v>
      </c>
      <c r="I51" s="21"/>
      <c r="J51" s="22"/>
      <c r="K51" s="48"/>
      <c r="L51" s="22"/>
      <c r="M51" s="22"/>
      <c r="N51" s="28"/>
      <c r="O51" s="28"/>
      <c r="P51" s="28"/>
      <c r="Q51" s="28"/>
      <c r="R51" s="29">
        <f t="shared" si="8"/>
        <v>1084</v>
      </c>
      <c r="S51" s="24">
        <f t="shared" si="7"/>
        <v>108.4</v>
      </c>
      <c r="T51" s="21" t="str">
        <f t="shared" si="9"/>
        <v>F</v>
      </c>
      <c r="V51" s="26" t="s">
        <v>26</v>
      </c>
    </row>
    <row r="52" spans="1:22" ht="12.75">
      <c r="A52" s="27" t="s">
        <v>198</v>
      </c>
      <c r="B52" s="27" t="s">
        <v>175</v>
      </c>
      <c r="C52" s="21">
        <f>SUM(584+584)</f>
        <v>1168</v>
      </c>
      <c r="D52" s="21">
        <f>SUM(608+556)</f>
        <v>1164</v>
      </c>
      <c r="E52" s="21">
        <f>SUM(578+502)</f>
        <v>1080</v>
      </c>
      <c r="F52" s="21"/>
      <c r="G52" s="21">
        <f>SUM(624+494)</f>
        <v>1118</v>
      </c>
      <c r="H52" s="21">
        <f>SUM(588+485)</f>
        <v>1073</v>
      </c>
      <c r="I52" s="21"/>
      <c r="J52" s="22"/>
      <c r="K52" s="21"/>
      <c r="L52" s="22"/>
      <c r="M52" s="22"/>
      <c r="N52" s="28"/>
      <c r="O52" s="28"/>
      <c r="P52" s="28"/>
      <c r="Q52" s="28"/>
      <c r="R52" s="30">
        <f t="shared" si="8"/>
        <v>1120.6</v>
      </c>
      <c r="S52" s="24">
        <f t="shared" si="7"/>
        <v>112.05999999999999</v>
      </c>
      <c r="T52" s="21" t="str">
        <f t="shared" si="9"/>
        <v>F</v>
      </c>
      <c r="V52" s="40" t="s">
        <v>81</v>
      </c>
    </row>
    <row r="53" spans="1:22" ht="12.75">
      <c r="A53" s="27" t="s">
        <v>98</v>
      </c>
      <c r="B53" s="27" t="s">
        <v>99</v>
      </c>
      <c r="C53" s="22"/>
      <c r="D53" s="22"/>
      <c r="E53" s="22"/>
      <c r="F53" s="21"/>
      <c r="G53" s="21">
        <f>SUM(645+645)</f>
        <v>1290</v>
      </c>
      <c r="H53" s="21">
        <f>SUM(645+645)</f>
        <v>1290</v>
      </c>
      <c r="I53" s="22"/>
      <c r="J53" s="22"/>
      <c r="K53" s="22"/>
      <c r="L53" s="22"/>
      <c r="M53" s="22"/>
      <c r="N53" s="28"/>
      <c r="O53" s="43"/>
      <c r="P53" s="28"/>
      <c r="Q53" s="28"/>
      <c r="R53" s="29">
        <f t="shared" si="8"/>
        <v>1290</v>
      </c>
      <c r="S53" s="24">
        <f t="shared" si="7"/>
        <v>129</v>
      </c>
      <c r="T53" s="21" t="str">
        <f t="shared" si="9"/>
        <v>C</v>
      </c>
      <c r="U53" s="25"/>
      <c r="V53" s="40" t="s">
        <v>81</v>
      </c>
    </row>
    <row r="54" spans="1:22" ht="12.75">
      <c r="A54" s="34" t="s">
        <v>21</v>
      </c>
      <c r="B54" s="34" t="s">
        <v>22</v>
      </c>
      <c r="C54" s="21">
        <f>SUM(692+681)</f>
        <v>1373</v>
      </c>
      <c r="D54" s="21">
        <f>SUM(684+607)</f>
        <v>1291</v>
      </c>
      <c r="E54" s="21">
        <f>SUM(707+700)</f>
        <v>1407</v>
      </c>
      <c r="F54" s="21">
        <f>SUM(713+725)</f>
        <v>1438</v>
      </c>
      <c r="G54" s="21">
        <f>SUM(719+716)</f>
        <v>1435</v>
      </c>
      <c r="H54" s="21">
        <f>SUM(714+680)</f>
        <v>1394</v>
      </c>
      <c r="I54" s="21">
        <f>SUM(714+679)</f>
        <v>1393</v>
      </c>
      <c r="J54" s="21">
        <f>SUM(696+684)</f>
        <v>1380</v>
      </c>
      <c r="K54" s="21">
        <f>SUM(721+713)</f>
        <v>1434</v>
      </c>
      <c r="L54" s="22"/>
      <c r="M54" s="22"/>
      <c r="N54" s="21"/>
      <c r="O54" s="22"/>
      <c r="P54" s="22"/>
      <c r="Q54" s="22"/>
      <c r="R54" s="30">
        <f t="shared" si="8"/>
        <v>1393.888888888889</v>
      </c>
      <c r="S54" s="24">
        <f t="shared" si="7"/>
        <v>139.38888888888889</v>
      </c>
      <c r="T54" s="21" t="str">
        <f t="shared" si="9"/>
        <v>A</v>
      </c>
      <c r="V54" s="40" t="s">
        <v>23</v>
      </c>
    </row>
    <row r="55" spans="1:22" ht="12.75">
      <c r="A55" s="34" t="s">
        <v>199</v>
      </c>
      <c r="B55" s="34" t="s">
        <v>200</v>
      </c>
      <c r="C55" s="22"/>
      <c r="D55" s="22"/>
      <c r="E55" s="22"/>
      <c r="F55" s="22"/>
      <c r="G55" s="22"/>
      <c r="H55" s="21">
        <f>SUM(566+555)</f>
        <v>1121</v>
      </c>
      <c r="I55" s="22"/>
      <c r="J55" s="21"/>
      <c r="K55" s="22"/>
      <c r="L55" s="22"/>
      <c r="M55" s="22"/>
      <c r="N55" s="21"/>
      <c r="O55" s="22"/>
      <c r="P55" s="22"/>
      <c r="Q55" s="22"/>
      <c r="R55" s="29">
        <f t="shared" si="8"/>
        <v>1121</v>
      </c>
      <c r="S55" s="24">
        <f t="shared" si="7"/>
        <v>112.1</v>
      </c>
      <c r="T55" s="21" t="str">
        <f t="shared" si="9"/>
        <v>F</v>
      </c>
      <c r="V55" s="26" t="s">
        <v>26</v>
      </c>
    </row>
    <row r="56" spans="1:22" ht="12.75">
      <c r="A56" s="27" t="s">
        <v>253</v>
      </c>
      <c r="B56" s="34" t="s">
        <v>254</v>
      </c>
      <c r="C56" s="21"/>
      <c r="D56" s="21"/>
      <c r="E56" s="21"/>
      <c r="F56" s="21"/>
      <c r="G56" s="21">
        <f>SUM(541+513)</f>
        <v>1054</v>
      </c>
      <c r="H56" s="21"/>
      <c r="I56" s="21"/>
      <c r="J56" s="21"/>
      <c r="K56" s="21"/>
      <c r="L56" s="22"/>
      <c r="M56" s="22"/>
      <c r="N56" s="28"/>
      <c r="O56" s="28"/>
      <c r="P56" s="28"/>
      <c r="Q56" s="28"/>
      <c r="R56" s="7">
        <f>IF(A56="","",SUM(C56:Q56))</f>
        <v>1054</v>
      </c>
      <c r="S56" s="24">
        <f t="shared" si="7"/>
        <v>105.4</v>
      </c>
      <c r="T56" s="21" t="str">
        <f t="shared" si="9"/>
        <v>G</v>
      </c>
      <c r="U56" s="33"/>
      <c r="V56" s="26" t="s">
        <v>43</v>
      </c>
    </row>
    <row r="57" spans="1:22" ht="12.75">
      <c r="A57" s="19" t="s">
        <v>24</v>
      </c>
      <c r="B57" s="20" t="s">
        <v>25</v>
      </c>
      <c r="C57" s="22"/>
      <c r="D57" s="22"/>
      <c r="E57" s="21">
        <f>SUM(660)</f>
        <v>660</v>
      </c>
      <c r="F57" s="22"/>
      <c r="G57" s="22"/>
      <c r="H57" s="21">
        <f>SUM(721+673)</f>
        <v>1394</v>
      </c>
      <c r="I57" s="21"/>
      <c r="J57" s="22"/>
      <c r="K57" s="21">
        <f>SUM(689)</f>
        <v>689</v>
      </c>
      <c r="L57" s="22"/>
      <c r="M57" s="22"/>
      <c r="N57" s="22"/>
      <c r="O57" s="22"/>
      <c r="P57" s="22"/>
      <c r="Q57" s="22"/>
      <c r="R57" s="29">
        <f>IF(A57="","",SUM(C57:Q57))</f>
        <v>2743</v>
      </c>
      <c r="S57" s="24">
        <f>IF(R57="","",R57/20)</f>
        <v>137.15</v>
      </c>
      <c r="T57" s="21" t="str">
        <f t="shared" si="9"/>
        <v>A</v>
      </c>
      <c r="V57" s="26" t="s">
        <v>26</v>
      </c>
    </row>
    <row r="58" spans="1:22" ht="12.75">
      <c r="A58" s="34" t="s">
        <v>255</v>
      </c>
      <c r="B58" s="34" t="s">
        <v>119</v>
      </c>
      <c r="C58" s="22"/>
      <c r="D58" s="21"/>
      <c r="E58" s="21"/>
      <c r="F58" s="21"/>
      <c r="G58" s="21">
        <f>SUM(517+481)</f>
        <v>998</v>
      </c>
      <c r="H58" s="21"/>
      <c r="I58" s="22"/>
      <c r="J58" s="21"/>
      <c r="K58" s="21"/>
      <c r="L58" s="22"/>
      <c r="M58" s="22"/>
      <c r="N58" s="28"/>
      <c r="O58" s="28"/>
      <c r="P58" s="28"/>
      <c r="Q58" s="28"/>
      <c r="R58" s="7">
        <f>IF(A58="","",SUM(C58:Q58))</f>
        <v>998</v>
      </c>
      <c r="S58" s="24">
        <f>IF(R58="","",R58/10)</f>
        <v>99.8</v>
      </c>
      <c r="T58" s="21" t="str">
        <f t="shared" si="9"/>
        <v>G</v>
      </c>
      <c r="V58" s="26" t="s">
        <v>43</v>
      </c>
    </row>
    <row r="59" spans="1:22" ht="12.75">
      <c r="A59" s="27" t="s">
        <v>256</v>
      </c>
      <c r="B59" s="20" t="s">
        <v>31</v>
      </c>
      <c r="C59" s="22"/>
      <c r="D59" s="22"/>
      <c r="E59" s="22"/>
      <c r="F59" s="21">
        <f>SUM(510+442)</f>
        <v>952</v>
      </c>
      <c r="G59" s="22"/>
      <c r="H59" s="21"/>
      <c r="I59" s="22"/>
      <c r="J59" s="21">
        <f>SUM(542+467)</f>
        <v>1009</v>
      </c>
      <c r="K59" s="22"/>
      <c r="L59" s="22"/>
      <c r="M59" s="22"/>
      <c r="N59" s="28"/>
      <c r="O59" s="28"/>
      <c r="P59" s="28"/>
      <c r="Q59" s="28"/>
      <c r="R59" s="35">
        <f>IF(A59="","",AVERAGE(C59:Q59))</f>
        <v>980.5</v>
      </c>
      <c r="S59" s="24">
        <f>IF(R59="","",R59/10)</f>
        <v>98.05</v>
      </c>
      <c r="T59" s="21" t="str">
        <f t="shared" si="9"/>
        <v>G</v>
      </c>
      <c r="V59" s="26" t="s">
        <v>97</v>
      </c>
    </row>
    <row r="60" spans="1:22" ht="12.75">
      <c r="A60" s="27" t="s">
        <v>201</v>
      </c>
      <c r="B60" s="27" t="s">
        <v>202</v>
      </c>
      <c r="C60" s="21">
        <f>SUM(543+498)</f>
        <v>1041</v>
      </c>
      <c r="D60" s="21">
        <f>SUM(609+533)</f>
        <v>1142</v>
      </c>
      <c r="E60" s="21">
        <f>SUM(586+532)</f>
        <v>1118</v>
      </c>
      <c r="F60" s="21">
        <f>SUM(584)</f>
        <v>584</v>
      </c>
      <c r="G60" s="21">
        <f>SUM(618+619)</f>
        <v>1237</v>
      </c>
      <c r="H60" s="21">
        <f>SUM(590+575)</f>
        <v>1165</v>
      </c>
      <c r="I60" s="21">
        <f>SUM(562+543)</f>
        <v>1105</v>
      </c>
      <c r="J60" s="21">
        <f>SUM(608+530)</f>
        <v>1138</v>
      </c>
      <c r="K60" s="22"/>
      <c r="L60" s="22"/>
      <c r="M60" s="22"/>
      <c r="N60" s="28"/>
      <c r="O60" s="28"/>
      <c r="P60" s="28"/>
      <c r="Q60" s="28"/>
      <c r="R60" s="30">
        <f>IF(A60="","",SUM(C60:Q60))</f>
        <v>8530</v>
      </c>
      <c r="S60" s="24">
        <f>IF(R60="","",R60/75)</f>
        <v>113.73333333333333</v>
      </c>
      <c r="T60" s="21" t="str">
        <f t="shared" si="9"/>
        <v>F</v>
      </c>
      <c r="V60" s="26" t="s">
        <v>97</v>
      </c>
    </row>
    <row r="61" spans="1:23" ht="12.75">
      <c r="A61" s="27" t="s">
        <v>153</v>
      </c>
      <c r="B61" s="27" t="s">
        <v>146</v>
      </c>
      <c r="C61" s="21"/>
      <c r="D61" s="21">
        <f>SUM(592+578)</f>
        <v>1170</v>
      </c>
      <c r="E61" s="21">
        <f>SUM(565+509)</f>
        <v>1074</v>
      </c>
      <c r="F61" s="21">
        <f>SUM(597+558)</f>
        <v>1155</v>
      </c>
      <c r="G61" s="21">
        <f>SUM(621+577)</f>
        <v>1198</v>
      </c>
      <c r="H61" s="21">
        <f>SUM(622+579)</f>
        <v>1201</v>
      </c>
      <c r="I61" s="21">
        <f>SUM(594+600)</f>
        <v>1194</v>
      </c>
      <c r="J61" s="21">
        <f>SUM(586+540)</f>
        <v>1126</v>
      </c>
      <c r="K61" s="21">
        <f>SUM(580+556)</f>
        <v>1136</v>
      </c>
      <c r="L61" s="22"/>
      <c r="M61" s="22"/>
      <c r="N61" s="28"/>
      <c r="O61" s="28"/>
      <c r="P61" s="28"/>
      <c r="Q61" s="28"/>
      <c r="R61" s="30">
        <f aca="true" t="shared" si="10" ref="R61:R74">IF(A61="","",AVERAGE(C61:Q61))</f>
        <v>1156.75</v>
      </c>
      <c r="S61" s="24">
        <f aca="true" t="shared" si="11" ref="S61:S74">IF(R61="","",R61/10)</f>
        <v>115.675</v>
      </c>
      <c r="T61" s="21" t="str">
        <f t="shared" si="9"/>
        <v>E</v>
      </c>
      <c r="V61" s="26" t="s">
        <v>26</v>
      </c>
      <c r="W61">
        <v>1</v>
      </c>
    </row>
    <row r="62" spans="1:22" ht="12.75">
      <c r="A62" s="19" t="s">
        <v>62</v>
      </c>
      <c r="B62" s="19" t="s">
        <v>63</v>
      </c>
      <c r="C62" s="22"/>
      <c r="D62" s="22"/>
      <c r="E62" s="21"/>
      <c r="F62" s="22"/>
      <c r="G62" s="22"/>
      <c r="H62" s="21">
        <f>SUM(680+639)</f>
        <v>1319</v>
      </c>
      <c r="I62" s="22"/>
      <c r="J62" s="22"/>
      <c r="K62" s="22"/>
      <c r="L62" s="22"/>
      <c r="M62" s="22"/>
      <c r="N62" s="22"/>
      <c r="O62" s="22"/>
      <c r="P62" s="22"/>
      <c r="Q62" s="22"/>
      <c r="R62" s="7">
        <f t="shared" si="10"/>
        <v>1319</v>
      </c>
      <c r="S62" s="24">
        <f t="shared" si="11"/>
        <v>131.9</v>
      </c>
      <c r="T62" s="21" t="str">
        <f t="shared" si="9"/>
        <v>B</v>
      </c>
      <c r="V62" s="26" t="s">
        <v>26</v>
      </c>
    </row>
    <row r="63" spans="1:22" ht="12.75">
      <c r="A63" s="34" t="s">
        <v>154</v>
      </c>
      <c r="B63" s="34" t="s">
        <v>155</v>
      </c>
      <c r="C63" s="21"/>
      <c r="D63" s="21"/>
      <c r="E63" s="21">
        <f>SUM(603+568)</f>
        <v>1171</v>
      </c>
      <c r="F63" s="22"/>
      <c r="G63" s="21"/>
      <c r="H63" s="22"/>
      <c r="I63" s="21"/>
      <c r="J63" s="22"/>
      <c r="K63" s="21"/>
      <c r="L63" s="22"/>
      <c r="M63" s="22"/>
      <c r="N63" s="22"/>
      <c r="O63" s="22"/>
      <c r="P63" s="22"/>
      <c r="Q63" s="22"/>
      <c r="R63" s="30">
        <f t="shared" si="10"/>
        <v>1171</v>
      </c>
      <c r="S63" s="24">
        <f t="shared" si="11"/>
        <v>117.1</v>
      </c>
      <c r="T63" s="21" t="str">
        <f t="shared" si="9"/>
        <v>E</v>
      </c>
      <c r="V63" s="26" t="s">
        <v>156</v>
      </c>
    </row>
    <row r="64" spans="1:22" ht="12.75">
      <c r="A64" s="34" t="s">
        <v>27</v>
      </c>
      <c r="B64" s="34" t="s">
        <v>28</v>
      </c>
      <c r="C64" s="21">
        <f>SUM(724+702)</f>
        <v>1426</v>
      </c>
      <c r="D64" s="22"/>
      <c r="E64" s="21"/>
      <c r="F64" s="22"/>
      <c r="G64" s="22"/>
      <c r="H64" s="22"/>
      <c r="I64" s="21"/>
      <c r="J64" s="22"/>
      <c r="K64" s="22"/>
      <c r="L64" s="22"/>
      <c r="M64" s="22"/>
      <c r="N64" s="22"/>
      <c r="O64" s="22"/>
      <c r="P64" s="22"/>
      <c r="Q64" s="22"/>
      <c r="R64" s="47">
        <f t="shared" si="10"/>
        <v>1426</v>
      </c>
      <c r="S64" s="24">
        <f t="shared" si="11"/>
        <v>142.6</v>
      </c>
      <c r="T64" s="21" t="str">
        <f t="shared" si="9"/>
        <v>A</v>
      </c>
      <c r="U64" s="25"/>
      <c r="V64" s="26" t="s">
        <v>29</v>
      </c>
    </row>
    <row r="65" spans="1:22" ht="12.75">
      <c r="A65" s="27" t="s">
        <v>30</v>
      </c>
      <c r="B65" s="34" t="s">
        <v>31</v>
      </c>
      <c r="C65" s="21">
        <f>SUM(732+732)</f>
        <v>1464</v>
      </c>
      <c r="D65" s="21">
        <f>SUM(728+723)</f>
        <v>1451</v>
      </c>
      <c r="E65" s="21"/>
      <c r="F65" s="21">
        <f>SUM(725+728)</f>
        <v>1453</v>
      </c>
      <c r="G65" s="22"/>
      <c r="H65" s="21">
        <f>SUM(736+720)</f>
        <v>1456</v>
      </c>
      <c r="I65" s="22"/>
      <c r="J65" s="22"/>
      <c r="K65" s="21"/>
      <c r="L65" s="22"/>
      <c r="M65" s="22"/>
      <c r="N65" s="28"/>
      <c r="O65" s="28"/>
      <c r="P65" s="28"/>
      <c r="Q65" s="28"/>
      <c r="R65" s="35">
        <f t="shared" si="10"/>
        <v>1456</v>
      </c>
      <c r="S65" s="24">
        <f t="shared" si="11"/>
        <v>145.6</v>
      </c>
      <c r="T65" s="21" t="str">
        <f t="shared" si="9"/>
        <v>A</v>
      </c>
      <c r="U65" s="25"/>
      <c r="V65" s="26" t="s">
        <v>32</v>
      </c>
    </row>
    <row r="66" spans="1:22" ht="12.75">
      <c r="A66" s="27" t="s">
        <v>30</v>
      </c>
      <c r="B66" s="34" t="s">
        <v>100</v>
      </c>
      <c r="C66" s="21">
        <f>SUM(678+603)</f>
        <v>1281</v>
      </c>
      <c r="D66" s="21">
        <f>SUM(664+618)</f>
        <v>1282</v>
      </c>
      <c r="E66" s="22"/>
      <c r="F66" s="22"/>
      <c r="G66" s="22"/>
      <c r="H66" s="21">
        <f>SUM(663+599)</f>
        <v>1262</v>
      </c>
      <c r="I66" s="21"/>
      <c r="J66" s="22"/>
      <c r="K66" s="22"/>
      <c r="L66" s="22"/>
      <c r="M66" s="22"/>
      <c r="N66" s="28"/>
      <c r="O66" s="28"/>
      <c r="P66" s="44"/>
      <c r="Q66" s="28"/>
      <c r="R66" s="30">
        <f t="shared" si="10"/>
        <v>1275</v>
      </c>
      <c r="S66" s="24">
        <f t="shared" si="11"/>
        <v>127.5</v>
      </c>
      <c r="T66" s="21" t="str">
        <f t="shared" si="9"/>
        <v>C</v>
      </c>
      <c r="U66" s="33"/>
      <c r="V66" s="26" t="s">
        <v>32</v>
      </c>
    </row>
    <row r="67" spans="1:22" ht="12.75" customHeight="1">
      <c r="A67" s="19" t="s">
        <v>257</v>
      </c>
      <c r="B67" s="20" t="s">
        <v>258</v>
      </c>
      <c r="C67" s="22"/>
      <c r="D67" s="22"/>
      <c r="E67" s="22"/>
      <c r="F67" s="22"/>
      <c r="G67" s="21"/>
      <c r="H67" s="21">
        <f>SUM(529+479)</f>
        <v>1008</v>
      </c>
      <c r="I67" s="22"/>
      <c r="J67" s="21"/>
      <c r="K67" s="21"/>
      <c r="L67" s="22"/>
      <c r="M67" s="22"/>
      <c r="N67" s="22"/>
      <c r="O67" s="22"/>
      <c r="P67" s="22"/>
      <c r="Q67" s="22"/>
      <c r="R67" s="47">
        <f t="shared" si="10"/>
        <v>1008</v>
      </c>
      <c r="S67" s="24">
        <f t="shared" si="11"/>
        <v>100.8</v>
      </c>
      <c r="T67" s="21" t="str">
        <f t="shared" si="9"/>
        <v>G</v>
      </c>
      <c r="V67" s="26" t="s">
        <v>26</v>
      </c>
    </row>
    <row r="68" spans="1:22" ht="12.75">
      <c r="A68" s="27" t="s">
        <v>203</v>
      </c>
      <c r="B68" s="20" t="s">
        <v>195</v>
      </c>
      <c r="C68" s="21">
        <f>SUM(573+553)</f>
        <v>1126</v>
      </c>
      <c r="D68" s="21">
        <f>SUM(546+488)</f>
        <v>1034</v>
      </c>
      <c r="E68" s="21"/>
      <c r="F68" s="21"/>
      <c r="G68" s="21">
        <f>SUM(557+567)</f>
        <v>1124</v>
      </c>
      <c r="H68" s="21">
        <f>SUM(553+513)</f>
        <v>1066</v>
      </c>
      <c r="I68" s="21"/>
      <c r="J68" s="21">
        <f>SUM(605+494)</f>
        <v>1099</v>
      </c>
      <c r="K68" s="21">
        <f>SUM(592+567)</f>
        <v>1159</v>
      </c>
      <c r="L68" s="22"/>
      <c r="M68" s="22"/>
      <c r="N68" s="28"/>
      <c r="O68" s="28"/>
      <c r="P68" s="28"/>
      <c r="Q68" s="28"/>
      <c r="R68" s="63">
        <f t="shared" si="10"/>
        <v>1101.3333333333333</v>
      </c>
      <c r="S68" s="24">
        <f t="shared" si="11"/>
        <v>110.13333333333333</v>
      </c>
      <c r="T68" s="21" t="str">
        <f t="shared" si="9"/>
        <v>F</v>
      </c>
      <c r="U68" s="33"/>
      <c r="V68" s="26" t="s">
        <v>204</v>
      </c>
    </row>
    <row r="69" spans="1:22" ht="12.75">
      <c r="A69" s="34" t="s">
        <v>64</v>
      </c>
      <c r="B69" s="34" t="s">
        <v>65</v>
      </c>
      <c r="C69" s="22"/>
      <c r="D69" s="22"/>
      <c r="E69" s="22"/>
      <c r="F69" s="22"/>
      <c r="G69" s="22"/>
      <c r="H69" s="21">
        <f>SUM(701+634)</f>
        <v>1335</v>
      </c>
      <c r="I69" s="22"/>
      <c r="J69" s="22"/>
      <c r="K69" s="22"/>
      <c r="L69" s="22"/>
      <c r="M69" s="22"/>
      <c r="N69" s="22"/>
      <c r="O69" s="22"/>
      <c r="P69" s="22"/>
      <c r="Q69" s="21"/>
      <c r="R69" s="7">
        <f t="shared" si="10"/>
        <v>1335</v>
      </c>
      <c r="S69" s="24">
        <f t="shared" si="11"/>
        <v>133.5</v>
      </c>
      <c r="T69" s="21" t="str">
        <f t="shared" si="9"/>
        <v>B</v>
      </c>
      <c r="U69" s="32"/>
      <c r="V69" s="26" t="s">
        <v>26</v>
      </c>
    </row>
    <row r="70" spans="1:22" ht="12.75">
      <c r="A70" s="27" t="s">
        <v>66</v>
      </c>
      <c r="B70" s="34" t="s">
        <v>67</v>
      </c>
      <c r="C70" s="21">
        <f>SUM(665+665)</f>
        <v>1330</v>
      </c>
      <c r="D70" s="21">
        <f>SUM(665+665)</f>
        <v>1330</v>
      </c>
      <c r="E70" s="22"/>
      <c r="F70" s="22"/>
      <c r="G70" s="22"/>
      <c r="H70" s="22"/>
      <c r="I70" s="22"/>
      <c r="J70" s="22"/>
      <c r="K70" s="21">
        <f>SUM(675+682)</f>
        <v>1357</v>
      </c>
      <c r="L70" s="22"/>
      <c r="M70" s="22"/>
      <c r="N70" s="28"/>
      <c r="O70" s="28"/>
      <c r="P70" s="28"/>
      <c r="Q70" s="29"/>
      <c r="R70" s="30">
        <f t="shared" si="10"/>
        <v>1339</v>
      </c>
      <c r="S70" s="24">
        <f t="shared" si="11"/>
        <v>133.9</v>
      </c>
      <c r="T70" s="21" t="str">
        <f t="shared" si="9"/>
        <v>B</v>
      </c>
      <c r="U70" s="32"/>
      <c r="V70" s="26" t="s">
        <v>68</v>
      </c>
    </row>
    <row r="71" spans="1:22" ht="12.75">
      <c r="A71" s="27" t="s">
        <v>66</v>
      </c>
      <c r="B71" s="34" t="s">
        <v>101</v>
      </c>
      <c r="C71" s="21">
        <f>SUM(644+617)</f>
        <v>1261</v>
      </c>
      <c r="D71" s="21">
        <f>SUM(626+613)</f>
        <v>1239</v>
      </c>
      <c r="E71" s="22"/>
      <c r="F71" s="21"/>
      <c r="G71" s="22"/>
      <c r="H71" s="22"/>
      <c r="I71" s="22"/>
      <c r="J71" s="22"/>
      <c r="K71" s="21">
        <f>SUM(637+655)</f>
        <v>1292</v>
      </c>
      <c r="L71" s="22"/>
      <c r="M71" s="22"/>
      <c r="N71" s="28"/>
      <c r="O71" s="28"/>
      <c r="P71" s="28"/>
      <c r="Q71" s="28"/>
      <c r="R71" s="29">
        <f t="shared" si="10"/>
        <v>1264</v>
      </c>
      <c r="S71" s="24">
        <f t="shared" si="11"/>
        <v>126.4</v>
      </c>
      <c r="T71" s="21" t="str">
        <f t="shared" si="9"/>
        <v>C</v>
      </c>
      <c r="U71" s="33"/>
      <c r="V71" s="26" t="s">
        <v>68</v>
      </c>
    </row>
    <row r="72" spans="1:22" ht="12.75">
      <c r="A72" s="34" t="s">
        <v>102</v>
      </c>
      <c r="B72" s="34" t="s">
        <v>103</v>
      </c>
      <c r="C72" s="21"/>
      <c r="D72" s="21"/>
      <c r="E72" s="21"/>
      <c r="F72" s="21"/>
      <c r="G72" s="21"/>
      <c r="H72" s="21">
        <f>SUM(635+635)</f>
        <v>1270</v>
      </c>
      <c r="I72" s="21"/>
      <c r="J72" s="21"/>
      <c r="K72" s="22"/>
      <c r="L72" s="22"/>
      <c r="M72" s="22"/>
      <c r="N72" s="22"/>
      <c r="O72" s="22"/>
      <c r="P72" s="22"/>
      <c r="Q72" s="22"/>
      <c r="R72" s="45">
        <f t="shared" si="10"/>
        <v>1270</v>
      </c>
      <c r="S72" s="24">
        <f t="shared" si="11"/>
        <v>127</v>
      </c>
      <c r="T72" s="21" t="str">
        <f t="shared" si="9"/>
        <v>C</v>
      </c>
      <c r="V72" s="26" t="s">
        <v>26</v>
      </c>
    </row>
    <row r="73" spans="1:22" ht="12.75">
      <c r="A73" s="27" t="s">
        <v>157</v>
      </c>
      <c r="B73" s="27" t="s">
        <v>158</v>
      </c>
      <c r="C73" s="21">
        <f>SUM(642+546)</f>
        <v>1188</v>
      </c>
      <c r="D73" s="21">
        <f>SUM(650+623)</f>
        <v>1273</v>
      </c>
      <c r="E73" s="21">
        <f>SUM(619+538)</f>
        <v>1157</v>
      </c>
      <c r="F73" s="21">
        <f>SUM(643+575)</f>
        <v>1218</v>
      </c>
      <c r="G73" s="21">
        <f>SUM(627+533)</f>
        <v>1160</v>
      </c>
      <c r="H73" s="21">
        <f>SUM(633+639)</f>
        <v>1272</v>
      </c>
      <c r="I73" s="21">
        <f>SUM(653+513)</f>
        <v>1166</v>
      </c>
      <c r="J73" s="21">
        <f>SUM(621+592)</f>
        <v>1213</v>
      </c>
      <c r="K73" s="21"/>
      <c r="L73" s="22"/>
      <c r="M73" s="22"/>
      <c r="N73" s="28"/>
      <c r="O73" s="28"/>
      <c r="P73" s="28"/>
      <c r="Q73" s="28"/>
      <c r="R73" s="30">
        <f t="shared" si="10"/>
        <v>1205.875</v>
      </c>
      <c r="S73" s="24">
        <f t="shared" si="11"/>
        <v>120.5875</v>
      </c>
      <c r="T73" s="21" t="str">
        <f t="shared" si="9"/>
        <v>E</v>
      </c>
      <c r="V73" s="26" t="s">
        <v>35</v>
      </c>
    </row>
    <row r="74" spans="1:22" ht="12.75">
      <c r="A74" s="27" t="s">
        <v>159</v>
      </c>
      <c r="B74" s="27" t="s">
        <v>160</v>
      </c>
      <c r="C74" s="22"/>
      <c r="D74" s="22"/>
      <c r="E74" s="22"/>
      <c r="F74" s="22"/>
      <c r="G74" s="22"/>
      <c r="H74" s="21">
        <f>SUM(617+586)</f>
        <v>1203</v>
      </c>
      <c r="I74" s="21"/>
      <c r="J74" s="22"/>
      <c r="K74" s="22"/>
      <c r="L74" s="22"/>
      <c r="M74" s="22"/>
      <c r="N74" s="28"/>
      <c r="O74" s="28"/>
      <c r="P74" s="28"/>
      <c r="Q74" s="28"/>
      <c r="R74" s="29">
        <f t="shared" si="10"/>
        <v>1203</v>
      </c>
      <c r="S74" s="24">
        <f t="shared" si="11"/>
        <v>120.3</v>
      </c>
      <c r="T74" s="21" t="str">
        <f t="shared" si="9"/>
        <v>E</v>
      </c>
      <c r="U74" s="33"/>
      <c r="V74" s="26" t="s">
        <v>26</v>
      </c>
    </row>
    <row r="75" spans="1:22" ht="12.75">
      <c r="A75" s="19" t="s">
        <v>159</v>
      </c>
      <c r="B75" s="19" t="s">
        <v>165</v>
      </c>
      <c r="C75" s="21"/>
      <c r="D75" s="21"/>
      <c r="E75" s="21"/>
      <c r="F75" s="21"/>
      <c r="G75" s="21"/>
      <c r="H75" s="21">
        <f>SUM(518)</f>
        <v>518</v>
      </c>
      <c r="I75" s="21"/>
      <c r="J75" s="21">
        <f>SUM(537+528)</f>
        <v>1065</v>
      </c>
      <c r="K75" s="21"/>
      <c r="L75" s="22"/>
      <c r="M75" s="22"/>
      <c r="N75" s="22"/>
      <c r="O75" s="22"/>
      <c r="P75" s="22"/>
      <c r="Q75" s="22"/>
      <c r="R75" s="54">
        <f>IF(A75="","",SUM(C75:Q75))</f>
        <v>1583</v>
      </c>
      <c r="S75" s="24">
        <f>IF(R75="","",R75/15)</f>
        <v>105.53333333333333</v>
      </c>
      <c r="T75" s="21" t="str">
        <f t="shared" si="9"/>
        <v>G</v>
      </c>
      <c r="V75" s="26" t="s">
        <v>61</v>
      </c>
    </row>
    <row r="76" spans="1:22" ht="12.75">
      <c r="A76" s="19" t="s">
        <v>161</v>
      </c>
      <c r="B76" s="20" t="s">
        <v>162</v>
      </c>
      <c r="C76" s="22"/>
      <c r="D76" s="22"/>
      <c r="E76" s="22"/>
      <c r="F76" s="22"/>
      <c r="G76" s="22"/>
      <c r="H76" s="21">
        <f>SUM(599+602)</f>
        <v>1201</v>
      </c>
      <c r="I76" s="21"/>
      <c r="J76" s="22"/>
      <c r="K76" s="22"/>
      <c r="L76" s="22"/>
      <c r="M76" s="22"/>
      <c r="N76" s="28"/>
      <c r="O76" s="28"/>
      <c r="P76" s="28"/>
      <c r="Q76" s="28"/>
      <c r="R76" s="29">
        <f>IF(A76="","",AVERAGE(C76:Q76))</f>
        <v>1201</v>
      </c>
      <c r="S76" s="24">
        <f>IF(R76="","",R76/10)</f>
        <v>120.1</v>
      </c>
      <c r="T76" s="21" t="str">
        <f t="shared" si="9"/>
        <v>E</v>
      </c>
      <c r="U76" s="25"/>
      <c r="V76" s="26" t="s">
        <v>106</v>
      </c>
    </row>
    <row r="77" spans="1:22" ht="12.75">
      <c r="A77" s="34" t="s">
        <v>259</v>
      </c>
      <c r="B77" s="34" t="s">
        <v>195</v>
      </c>
      <c r="C77" s="21"/>
      <c r="D77" s="21"/>
      <c r="E77" s="22"/>
      <c r="F77" s="21">
        <f>SUM(494+458)</f>
        <v>952</v>
      </c>
      <c r="G77" s="22"/>
      <c r="H77" s="22"/>
      <c r="I77" s="21"/>
      <c r="J77" s="22"/>
      <c r="K77" s="22"/>
      <c r="L77" s="22"/>
      <c r="M77" s="22"/>
      <c r="N77" s="22"/>
      <c r="O77" s="22"/>
      <c r="P77" s="22"/>
      <c r="Q77" s="22"/>
      <c r="R77" s="35">
        <f>IF(A77="","",AVERAGE(C77:Q77))</f>
        <v>952</v>
      </c>
      <c r="S77" s="24">
        <f>IF(R77="","",R77/10)</f>
        <v>95.2</v>
      </c>
      <c r="T77" s="21" t="str">
        <f t="shared" si="9"/>
        <v>G</v>
      </c>
      <c r="V77" s="26" t="s">
        <v>20</v>
      </c>
    </row>
    <row r="78" spans="1:22" ht="12.75">
      <c r="A78" s="27" t="s">
        <v>125</v>
      </c>
      <c r="B78" s="27" t="s">
        <v>126</v>
      </c>
      <c r="C78" s="21"/>
      <c r="D78" s="22"/>
      <c r="E78" s="22"/>
      <c r="F78" s="22"/>
      <c r="G78" s="21"/>
      <c r="H78" s="21">
        <f>SUM(622+595)</f>
        <v>1217</v>
      </c>
      <c r="I78" s="22"/>
      <c r="J78" s="21"/>
      <c r="K78" s="22"/>
      <c r="L78" s="22"/>
      <c r="M78" s="22"/>
      <c r="N78" s="28"/>
      <c r="O78" s="28"/>
      <c r="P78" s="28"/>
      <c r="Q78" s="28"/>
      <c r="R78" s="29">
        <f>IF(A78="","",AVERAGE(C78:Q78))</f>
        <v>1217</v>
      </c>
      <c r="S78" s="24">
        <f>IF(R78="","",R78/10)</f>
        <v>121.7</v>
      </c>
      <c r="T78" s="21" t="str">
        <f t="shared" si="9"/>
        <v>D</v>
      </c>
      <c r="U78" s="25"/>
      <c r="V78" s="26" t="s">
        <v>106</v>
      </c>
    </row>
    <row r="79" spans="1:22" ht="12.75">
      <c r="A79" s="34" t="s">
        <v>260</v>
      </c>
      <c r="B79" s="34" t="s">
        <v>250</v>
      </c>
      <c r="C79" s="22"/>
      <c r="D79" s="22"/>
      <c r="E79" s="21"/>
      <c r="F79" s="22"/>
      <c r="G79" s="22"/>
      <c r="H79" s="21">
        <f>SUM(518)</f>
        <v>518</v>
      </c>
      <c r="I79" s="21"/>
      <c r="J79" s="22"/>
      <c r="K79" s="22"/>
      <c r="L79" s="22"/>
      <c r="M79" s="22"/>
      <c r="N79" s="21"/>
      <c r="O79" s="22"/>
      <c r="P79" s="22"/>
      <c r="Q79" s="22"/>
      <c r="R79" s="29">
        <f>IF(A79="","",SUM(C79:Q79))</f>
        <v>518</v>
      </c>
      <c r="S79" s="24">
        <f>IF(R79="","",R79/5)</f>
        <v>103.6</v>
      </c>
      <c r="T79" s="21" t="str">
        <f t="shared" si="9"/>
        <v>G</v>
      </c>
      <c r="V79" s="26" t="s">
        <v>26</v>
      </c>
    </row>
    <row r="80" spans="1:22" ht="12.75">
      <c r="A80" s="34" t="s">
        <v>69</v>
      </c>
      <c r="B80" s="34" t="s">
        <v>70</v>
      </c>
      <c r="C80" s="22"/>
      <c r="D80" s="22"/>
      <c r="E80" s="21"/>
      <c r="F80" s="22"/>
      <c r="G80" s="22"/>
      <c r="H80" s="21">
        <f>SUM(665+665)</f>
        <v>1330</v>
      </c>
      <c r="I80" s="22"/>
      <c r="J80" s="22"/>
      <c r="K80" s="22"/>
      <c r="L80" s="22"/>
      <c r="M80" s="22"/>
      <c r="N80" s="22"/>
      <c r="O80" s="22"/>
      <c r="P80" s="22"/>
      <c r="Q80" s="22"/>
      <c r="R80" s="7">
        <f>IF(A80="","",AVERAGE(C80:Q80))</f>
        <v>1330</v>
      </c>
      <c r="S80" s="24">
        <f aca="true" t="shared" si="12" ref="S80:S87">IF(R80="","",R80/10)</f>
        <v>133</v>
      </c>
      <c r="T80" s="21" t="str">
        <f t="shared" si="9"/>
        <v>B</v>
      </c>
      <c r="U80" s="32"/>
      <c r="V80" s="40" t="s">
        <v>26</v>
      </c>
    </row>
    <row r="81" spans="1:22" ht="12.75">
      <c r="A81" s="34" t="s">
        <v>205</v>
      </c>
      <c r="B81" s="34" t="s">
        <v>206</v>
      </c>
      <c r="C81" s="21"/>
      <c r="D81" s="21"/>
      <c r="E81" s="21"/>
      <c r="F81" s="21"/>
      <c r="G81" s="22"/>
      <c r="H81" s="21"/>
      <c r="I81" s="21"/>
      <c r="J81" s="22"/>
      <c r="K81" s="21">
        <f>SUM(565+567)</f>
        <v>1132</v>
      </c>
      <c r="L81" s="22"/>
      <c r="M81" s="22"/>
      <c r="N81" s="21"/>
      <c r="O81" s="22"/>
      <c r="P81" s="22"/>
      <c r="Q81" s="22"/>
      <c r="R81" s="35">
        <f>IF(A81="","",SUM(C81:Q81))</f>
        <v>1132</v>
      </c>
      <c r="S81" s="24">
        <f t="shared" si="12"/>
        <v>113.2</v>
      </c>
      <c r="T81" s="21" t="str">
        <f t="shared" si="9"/>
        <v>F</v>
      </c>
      <c r="U81" s="25"/>
      <c r="V81" s="26" t="s">
        <v>26</v>
      </c>
    </row>
    <row r="82" spans="1:22" ht="12.75">
      <c r="A82" s="27" t="s">
        <v>261</v>
      </c>
      <c r="B82" s="27" t="s">
        <v>262</v>
      </c>
      <c r="C82" s="21"/>
      <c r="D82" s="21"/>
      <c r="E82" s="21"/>
      <c r="F82" s="21"/>
      <c r="G82" s="21"/>
      <c r="H82" s="22"/>
      <c r="I82" s="21">
        <f>SUM(522+518)</f>
        <v>1040</v>
      </c>
      <c r="J82" s="21">
        <f>SUM(535+550)</f>
        <v>1085</v>
      </c>
      <c r="K82" s="21"/>
      <c r="L82" s="22"/>
      <c r="M82" s="22"/>
      <c r="N82" s="28"/>
      <c r="O82" s="28"/>
      <c r="P82" s="28"/>
      <c r="Q82" s="28"/>
      <c r="R82" s="35">
        <f aca="true" t="shared" si="13" ref="R82:R87">IF(A82="","",AVERAGE(C82:Q82))</f>
        <v>1062.5</v>
      </c>
      <c r="S82" s="24">
        <f t="shared" si="12"/>
        <v>106.25</v>
      </c>
      <c r="T82" s="21" t="str">
        <f t="shared" si="9"/>
        <v>G</v>
      </c>
      <c r="V82" s="41" t="s">
        <v>263</v>
      </c>
    </row>
    <row r="83" spans="1:22" ht="12.75">
      <c r="A83" s="27" t="s">
        <v>33</v>
      </c>
      <c r="B83" s="34" t="s">
        <v>34</v>
      </c>
      <c r="C83" s="21">
        <f>SUM(722+690)</f>
        <v>1412</v>
      </c>
      <c r="D83" s="21">
        <f>SUM(731+703)</f>
        <v>1434</v>
      </c>
      <c r="E83" s="21">
        <f>SUM(722+672)</f>
        <v>1394</v>
      </c>
      <c r="F83" s="22"/>
      <c r="G83" s="22"/>
      <c r="H83" s="22"/>
      <c r="I83" s="22"/>
      <c r="J83" s="21">
        <f>SUM(722+725)</f>
        <v>1447</v>
      </c>
      <c r="K83" s="22"/>
      <c r="L83" s="22"/>
      <c r="M83" s="22"/>
      <c r="N83" s="28"/>
      <c r="O83" s="28"/>
      <c r="P83" s="28"/>
      <c r="Q83" s="28"/>
      <c r="R83" s="35">
        <f t="shared" si="13"/>
        <v>1421.75</v>
      </c>
      <c r="S83" s="24">
        <f t="shared" si="12"/>
        <v>142.175</v>
      </c>
      <c r="T83" s="21" t="str">
        <f t="shared" si="9"/>
        <v>A</v>
      </c>
      <c r="U83" s="33"/>
      <c r="V83" s="26" t="s">
        <v>35</v>
      </c>
    </row>
    <row r="84" spans="1:22" ht="12.75">
      <c r="A84" s="34" t="s">
        <v>264</v>
      </c>
      <c r="B84" s="34" t="s">
        <v>142</v>
      </c>
      <c r="C84" s="22"/>
      <c r="D84" s="22"/>
      <c r="E84" s="22"/>
      <c r="F84" s="22"/>
      <c r="G84" s="22"/>
      <c r="H84" s="22"/>
      <c r="I84" s="22"/>
      <c r="J84" s="21">
        <f>SUM(491+511)</f>
        <v>1002</v>
      </c>
      <c r="K84" s="22"/>
      <c r="L84" s="22"/>
      <c r="M84" s="22"/>
      <c r="N84" s="21"/>
      <c r="O84" s="22"/>
      <c r="P84" s="22"/>
      <c r="Q84" s="22"/>
      <c r="R84" s="7">
        <f t="shared" si="13"/>
        <v>1002</v>
      </c>
      <c r="S84" s="24">
        <f t="shared" si="12"/>
        <v>100.2</v>
      </c>
      <c r="T84" s="21" t="str">
        <f>IF(AND(S84&gt;=133,S84&lt;=148),"A",IF(AND(S84&gt;=128,S84&lt;=132.99),"B",IF(AND(S84&gt;=123,S84&lt;=127.99),"C",IF(AND(S84&gt;=118,S84&lt;=122.99),"D",IF(AND(S84&gt;=113,S84&lt;=117.99),"E",IF(AND(S84&gt;=108,S84&lt;=112.99),"F",IF(AND(S84&gt;=0,S84&lt;=107.99),"G","")))))))</f>
        <v>G</v>
      </c>
      <c r="V84" s="40" t="s">
        <v>97</v>
      </c>
    </row>
    <row r="85" spans="1:22" ht="12.75">
      <c r="A85" s="34" t="s">
        <v>207</v>
      </c>
      <c r="B85" s="27" t="s">
        <v>31</v>
      </c>
      <c r="C85" s="22"/>
      <c r="D85" s="22"/>
      <c r="E85" s="21">
        <f>SUM(561+521)</f>
        <v>1082</v>
      </c>
      <c r="F85" s="22"/>
      <c r="G85" s="22"/>
      <c r="H85" s="21"/>
      <c r="I85" s="22"/>
      <c r="J85" s="21"/>
      <c r="K85" s="22"/>
      <c r="L85" s="22"/>
      <c r="M85" s="22"/>
      <c r="N85" s="22"/>
      <c r="O85" s="22"/>
      <c r="P85" s="22"/>
      <c r="Q85" s="22"/>
      <c r="R85" s="7">
        <f t="shared" si="13"/>
        <v>1082</v>
      </c>
      <c r="S85" s="24">
        <f t="shared" si="12"/>
        <v>108.2</v>
      </c>
      <c r="T85" s="21" t="str">
        <f aca="true" t="shared" si="14" ref="T85:T97">IF(AND(S85&gt;=134,S85&lt;=148),"A",IF(AND(S85&gt;=130,S85&lt;=133.99),"B",IF(AND(S85&gt;=126,S85&lt;=129.99),"C",IF(AND(S85&gt;=121,S85&lt;=125.99),"D",IF(AND(S85&gt;=115,S85&lt;=120.99),"E",IF(AND(S85&gt;=108,S85&lt;=114.99),"F",IF(AND(S85&gt;=0,S85&lt;=107.99),"G","")))))))</f>
        <v>F</v>
      </c>
      <c r="U85" s="25"/>
      <c r="V85" s="26" t="s">
        <v>54</v>
      </c>
    </row>
    <row r="86" spans="1:22" ht="12.75">
      <c r="A86" s="27" t="s">
        <v>208</v>
      </c>
      <c r="B86" s="19" t="s">
        <v>209</v>
      </c>
      <c r="C86" s="21">
        <f>SUM(578+541)</f>
        <v>1119</v>
      </c>
      <c r="D86" s="22"/>
      <c r="E86" s="22"/>
      <c r="F86" s="21">
        <f>SUM(607+503)</f>
        <v>1110</v>
      </c>
      <c r="G86" s="22"/>
      <c r="H86" s="21">
        <f>SUM(609+548)</f>
        <v>1157</v>
      </c>
      <c r="I86" s="21">
        <f>SUM(576+533)</f>
        <v>1109</v>
      </c>
      <c r="J86" s="21">
        <f>SUM(610+514)</f>
        <v>1124</v>
      </c>
      <c r="K86" s="21">
        <f>SUM(593+533)</f>
        <v>1126</v>
      </c>
      <c r="L86" s="22"/>
      <c r="M86" s="22"/>
      <c r="N86" s="28"/>
      <c r="O86" s="28"/>
      <c r="P86" s="28"/>
      <c r="Q86" s="28"/>
      <c r="R86" s="30">
        <f t="shared" si="13"/>
        <v>1124.1666666666667</v>
      </c>
      <c r="S86" s="24">
        <f t="shared" si="12"/>
        <v>112.41666666666667</v>
      </c>
      <c r="T86" s="21" t="str">
        <f t="shared" si="14"/>
        <v>F</v>
      </c>
      <c r="U86" s="33"/>
      <c r="V86" s="26" t="s">
        <v>97</v>
      </c>
    </row>
    <row r="87" spans="1:22" ht="12.75">
      <c r="A87" s="27" t="s">
        <v>210</v>
      </c>
      <c r="B87" s="27" t="s">
        <v>39</v>
      </c>
      <c r="C87" s="22"/>
      <c r="D87" s="21"/>
      <c r="E87" s="22"/>
      <c r="F87" s="21"/>
      <c r="G87" s="21"/>
      <c r="H87" s="21">
        <f>SUM(570+570)</f>
        <v>1140</v>
      </c>
      <c r="I87" s="22"/>
      <c r="J87" s="22"/>
      <c r="K87" s="22"/>
      <c r="L87" s="22"/>
      <c r="M87" s="22"/>
      <c r="N87" s="28"/>
      <c r="O87" s="28"/>
      <c r="P87" s="28"/>
      <c r="Q87" s="28"/>
      <c r="R87" s="30">
        <f t="shared" si="13"/>
        <v>1140</v>
      </c>
      <c r="S87" s="24">
        <f t="shared" si="12"/>
        <v>114</v>
      </c>
      <c r="T87" s="21" t="str">
        <f t="shared" si="14"/>
        <v>F</v>
      </c>
      <c r="V87" s="41"/>
    </row>
    <row r="88" spans="1:22" ht="12.75">
      <c r="A88" s="34" t="s">
        <v>163</v>
      </c>
      <c r="B88" s="34" t="s">
        <v>67</v>
      </c>
      <c r="C88" s="21">
        <f>SUM(593+607)</f>
        <v>1200</v>
      </c>
      <c r="D88" s="21"/>
      <c r="E88" s="21"/>
      <c r="F88" s="21">
        <f>SUM(609+602)</f>
        <v>1211</v>
      </c>
      <c r="G88" s="21">
        <f>SUM(607+584)</f>
        <v>1191</v>
      </c>
      <c r="H88" s="21">
        <f>SUM(525)</f>
        <v>525</v>
      </c>
      <c r="I88" s="21">
        <f>SUM(591+497)</f>
        <v>1088</v>
      </c>
      <c r="J88" s="21"/>
      <c r="K88" s="21">
        <f>SUM(578)</f>
        <v>578</v>
      </c>
      <c r="L88" s="22"/>
      <c r="M88" s="22"/>
      <c r="N88" s="22"/>
      <c r="O88" s="22"/>
      <c r="P88" s="22"/>
      <c r="Q88" s="22"/>
      <c r="R88" s="47">
        <f>IF(A88="","",SUM(C88:Q88))</f>
        <v>5793</v>
      </c>
      <c r="S88" s="24">
        <f>IF(R88="","",R88/50)</f>
        <v>115.86</v>
      </c>
      <c r="T88" s="21" t="str">
        <f t="shared" si="14"/>
        <v>E</v>
      </c>
      <c r="V88" s="26" t="s">
        <v>164</v>
      </c>
    </row>
    <row r="89" spans="1:22" ht="12.75">
      <c r="A89" s="34" t="s">
        <v>163</v>
      </c>
      <c r="B89" s="34" t="s">
        <v>195</v>
      </c>
      <c r="C89" s="21">
        <f>SUM(580+519)</f>
        <v>1099</v>
      </c>
      <c r="D89" s="21"/>
      <c r="E89" s="21"/>
      <c r="F89" s="21">
        <f>SUM(564+550)</f>
        <v>1114</v>
      </c>
      <c r="G89" s="21">
        <f>SUM(567+508)</f>
        <v>1075</v>
      </c>
      <c r="H89" s="21">
        <f>SUM(572+555)</f>
        <v>1127</v>
      </c>
      <c r="I89" s="21">
        <f>SUM(565+554)</f>
        <v>1119</v>
      </c>
      <c r="J89" s="22"/>
      <c r="K89" s="21">
        <f>SUM(585+492)</f>
        <v>1077</v>
      </c>
      <c r="L89" s="22"/>
      <c r="M89" s="22"/>
      <c r="N89" s="22"/>
      <c r="O89" s="22"/>
      <c r="P89" s="22"/>
      <c r="Q89" s="22"/>
      <c r="R89" s="30">
        <f aca="true" t="shared" si="15" ref="R89:R99">IF(A89="","",AVERAGE(C89:Q89))</f>
        <v>1101.8333333333333</v>
      </c>
      <c r="S89" s="24">
        <f>IF(R89="","",R89/10)</f>
        <v>110.18333333333332</v>
      </c>
      <c r="T89" s="21" t="str">
        <f t="shared" si="14"/>
        <v>F</v>
      </c>
      <c r="U89" s="25"/>
      <c r="V89" s="26" t="s">
        <v>164</v>
      </c>
    </row>
    <row r="90" spans="1:22" ht="12.75">
      <c r="A90" s="27" t="s">
        <v>71</v>
      </c>
      <c r="B90" s="34" t="s">
        <v>72</v>
      </c>
      <c r="C90" s="21"/>
      <c r="D90" s="22"/>
      <c r="E90" s="21"/>
      <c r="F90" s="22"/>
      <c r="G90" s="21"/>
      <c r="H90" s="21">
        <f>SUM(665+665)</f>
        <v>1330</v>
      </c>
      <c r="I90" s="21"/>
      <c r="J90" s="22"/>
      <c r="K90" s="21"/>
      <c r="L90" s="22"/>
      <c r="M90" s="22"/>
      <c r="N90" s="28"/>
      <c r="O90" s="28"/>
      <c r="P90" s="28"/>
      <c r="Q90" s="28"/>
      <c r="R90" s="7">
        <f t="shared" si="15"/>
        <v>1330</v>
      </c>
      <c r="S90" s="24">
        <f>IF(R90="","",R90/10)</f>
        <v>133</v>
      </c>
      <c r="T90" s="21" t="str">
        <f t="shared" si="14"/>
        <v>B</v>
      </c>
      <c r="V90" s="26" t="s">
        <v>26</v>
      </c>
    </row>
    <row r="91" spans="1:22" ht="12.75">
      <c r="A91" s="34" t="s">
        <v>127</v>
      </c>
      <c r="B91" s="34" t="s">
        <v>99</v>
      </c>
      <c r="C91" s="21"/>
      <c r="D91" s="21"/>
      <c r="E91" s="21"/>
      <c r="F91" s="21">
        <f>SUM(626+639)</f>
        <v>1265</v>
      </c>
      <c r="G91" s="21">
        <f>SUM(635+629)</f>
        <v>1264</v>
      </c>
      <c r="H91" s="21"/>
      <c r="I91" s="22"/>
      <c r="J91" s="21">
        <f>SUM(625+598)</f>
        <v>1223</v>
      </c>
      <c r="K91" s="21">
        <f>SUM(642+562)</f>
        <v>1204</v>
      </c>
      <c r="L91" s="22"/>
      <c r="M91" s="22"/>
      <c r="N91" s="22"/>
      <c r="O91" s="22"/>
      <c r="P91" s="22"/>
      <c r="Q91" s="22"/>
      <c r="R91" s="35">
        <f t="shared" si="15"/>
        <v>1239</v>
      </c>
      <c r="S91" s="24">
        <f>IF(R91="","",R91/10)</f>
        <v>123.9</v>
      </c>
      <c r="T91" s="21" t="str">
        <f t="shared" si="14"/>
        <v>D</v>
      </c>
      <c r="V91" s="26" t="s">
        <v>43</v>
      </c>
    </row>
    <row r="92" spans="1:22" ht="12.75">
      <c r="A92" s="34" t="s">
        <v>265</v>
      </c>
      <c r="B92" s="34" t="s">
        <v>266</v>
      </c>
      <c r="C92" s="21"/>
      <c r="D92" s="21">
        <f>SUM(494+558)</f>
        <v>1052</v>
      </c>
      <c r="E92" s="21">
        <f>SUM(529+516)</f>
        <v>1045</v>
      </c>
      <c r="F92" s="21">
        <f>SUM(479+523)</f>
        <v>1002</v>
      </c>
      <c r="G92" s="21"/>
      <c r="H92" s="22"/>
      <c r="I92" s="21">
        <f>SUM(533+508)</f>
        <v>1041</v>
      </c>
      <c r="J92" s="21">
        <f>SUM(547+457)</f>
        <v>1004</v>
      </c>
      <c r="K92" s="21">
        <f>SUM(544+502)</f>
        <v>1046</v>
      </c>
      <c r="L92" s="22"/>
      <c r="M92" s="22"/>
      <c r="N92" s="22"/>
      <c r="O92" s="22"/>
      <c r="P92" s="22"/>
      <c r="Q92" s="22"/>
      <c r="R92" s="36">
        <f t="shared" si="15"/>
        <v>1031.6666666666667</v>
      </c>
      <c r="S92" s="24">
        <f>IF(R92="","",R92/10)</f>
        <v>103.16666666666667</v>
      </c>
      <c r="T92" s="21" t="str">
        <f t="shared" si="14"/>
        <v>G</v>
      </c>
      <c r="U92" s="33"/>
      <c r="V92" s="26" t="s">
        <v>26</v>
      </c>
    </row>
    <row r="93" spans="1:22" ht="12" customHeight="1">
      <c r="A93" s="27" t="s">
        <v>128</v>
      </c>
      <c r="B93" s="27" t="s">
        <v>129</v>
      </c>
      <c r="C93" s="22"/>
      <c r="D93" s="22"/>
      <c r="E93" s="22"/>
      <c r="F93" s="22"/>
      <c r="G93" s="22"/>
      <c r="H93" s="21">
        <f>SUM(626)</f>
        <v>626</v>
      </c>
      <c r="I93" s="22"/>
      <c r="J93" s="22"/>
      <c r="K93" s="22"/>
      <c r="L93" s="22"/>
      <c r="M93" s="22"/>
      <c r="N93" s="28"/>
      <c r="O93" s="28"/>
      <c r="P93" s="28"/>
      <c r="Q93" s="29"/>
      <c r="R93" s="29">
        <f t="shared" si="15"/>
        <v>626</v>
      </c>
      <c r="S93" s="24">
        <f>IF(R93="","",R93/5)</f>
        <v>125.2</v>
      </c>
      <c r="T93" s="21" t="str">
        <f t="shared" si="14"/>
        <v>D</v>
      </c>
      <c r="U93" s="32"/>
      <c r="V93" s="41"/>
    </row>
    <row r="94" spans="1:22" ht="12.75">
      <c r="A94" s="34" t="s">
        <v>128</v>
      </c>
      <c r="B94" s="34" t="s">
        <v>165</v>
      </c>
      <c r="C94" s="22"/>
      <c r="D94" s="22"/>
      <c r="E94" s="22"/>
      <c r="F94" s="22"/>
      <c r="G94" s="22"/>
      <c r="H94" s="21">
        <f>SUM(600+600)</f>
        <v>1200</v>
      </c>
      <c r="I94" s="21"/>
      <c r="J94" s="22"/>
      <c r="K94" s="22"/>
      <c r="L94" s="22"/>
      <c r="M94" s="22"/>
      <c r="N94" s="22"/>
      <c r="O94" s="22"/>
      <c r="P94" s="22"/>
      <c r="Q94" s="22"/>
      <c r="R94" s="7">
        <f t="shared" si="15"/>
        <v>1200</v>
      </c>
      <c r="S94" s="24">
        <f aca="true" t="shared" si="16" ref="S94:S99">IF(R94="","",R94/10)</f>
        <v>120</v>
      </c>
      <c r="T94" s="21" t="str">
        <f t="shared" si="14"/>
        <v>E</v>
      </c>
      <c r="U94" s="33"/>
      <c r="V94" s="41"/>
    </row>
    <row r="95" spans="1:22" ht="12.75">
      <c r="A95" s="42" t="s">
        <v>73</v>
      </c>
      <c r="B95" s="42" t="s">
        <v>74</v>
      </c>
      <c r="C95" s="28"/>
      <c r="D95" s="28"/>
      <c r="E95" s="29">
        <f>SUM(665+665)</f>
        <v>1330</v>
      </c>
      <c r="F95" s="28"/>
      <c r="G95" s="28"/>
      <c r="H95" s="28"/>
      <c r="I95" s="29"/>
      <c r="J95" s="28"/>
      <c r="K95" s="28"/>
      <c r="L95" s="28"/>
      <c r="M95" s="28"/>
      <c r="N95" s="28"/>
      <c r="O95" s="28"/>
      <c r="P95" s="28"/>
      <c r="Q95" s="28"/>
      <c r="R95" s="7">
        <f t="shared" si="15"/>
        <v>1330</v>
      </c>
      <c r="S95" s="24">
        <f t="shared" si="16"/>
        <v>133</v>
      </c>
      <c r="T95" s="21" t="str">
        <f t="shared" si="14"/>
        <v>B</v>
      </c>
      <c r="V95" s="26" t="s">
        <v>9</v>
      </c>
    </row>
    <row r="96" spans="1:22" ht="12.75">
      <c r="A96" s="27" t="s">
        <v>130</v>
      </c>
      <c r="B96" s="34" t="s">
        <v>114</v>
      </c>
      <c r="C96" s="21"/>
      <c r="D96" s="22"/>
      <c r="E96" s="21"/>
      <c r="F96" s="21"/>
      <c r="G96" s="22"/>
      <c r="H96" s="21">
        <f>SUM(625+625)</f>
        <v>1250</v>
      </c>
      <c r="I96" s="21"/>
      <c r="J96" s="21"/>
      <c r="K96" s="21"/>
      <c r="L96" s="22"/>
      <c r="M96" s="22"/>
      <c r="N96" s="28"/>
      <c r="O96" s="28"/>
      <c r="P96" s="28"/>
      <c r="Q96" s="28"/>
      <c r="R96" s="35">
        <f t="shared" si="15"/>
        <v>1250</v>
      </c>
      <c r="S96" s="24">
        <f t="shared" si="16"/>
        <v>125</v>
      </c>
      <c r="T96" s="21" t="str">
        <f t="shared" si="14"/>
        <v>D</v>
      </c>
      <c r="V96" s="26" t="s">
        <v>106</v>
      </c>
    </row>
    <row r="97" spans="1:22" ht="12.75">
      <c r="A97" s="27" t="s">
        <v>130</v>
      </c>
      <c r="B97" s="27" t="s">
        <v>211</v>
      </c>
      <c r="C97" s="22"/>
      <c r="D97" s="22"/>
      <c r="E97" s="22"/>
      <c r="F97" s="22"/>
      <c r="G97" s="22"/>
      <c r="H97" s="21">
        <f>SUM(609+512)</f>
        <v>1121</v>
      </c>
      <c r="I97" s="21"/>
      <c r="J97" s="22"/>
      <c r="K97" s="22"/>
      <c r="L97" s="22"/>
      <c r="M97" s="22"/>
      <c r="N97" s="28"/>
      <c r="O97" s="28"/>
      <c r="P97" s="28"/>
      <c r="Q97" s="28"/>
      <c r="R97" s="29">
        <f t="shared" si="15"/>
        <v>1121</v>
      </c>
      <c r="S97" s="24">
        <f t="shared" si="16"/>
        <v>112.1</v>
      </c>
      <c r="T97" s="21" t="str">
        <f t="shared" si="14"/>
        <v>F</v>
      </c>
      <c r="U97" s="25"/>
      <c r="V97" s="26" t="s">
        <v>106</v>
      </c>
    </row>
    <row r="98" spans="1:22" ht="12.75">
      <c r="A98" s="27" t="s">
        <v>131</v>
      </c>
      <c r="B98" s="20" t="s">
        <v>114</v>
      </c>
      <c r="C98" s="22"/>
      <c r="D98" s="22"/>
      <c r="E98" s="22"/>
      <c r="F98" s="22"/>
      <c r="G98" s="22"/>
      <c r="H98" s="21">
        <f>SUM(634+605)</f>
        <v>1239</v>
      </c>
      <c r="I98" s="22"/>
      <c r="J98" s="22"/>
      <c r="K98" s="22"/>
      <c r="L98" s="22"/>
      <c r="M98" s="22"/>
      <c r="N98" s="28"/>
      <c r="O98" s="28"/>
      <c r="P98" s="28"/>
      <c r="Q98" s="28"/>
      <c r="R98" s="29">
        <f t="shared" si="15"/>
        <v>1239</v>
      </c>
      <c r="S98" s="24">
        <f t="shared" si="16"/>
        <v>123.9</v>
      </c>
      <c r="T98" s="21" t="str">
        <f>IF(AND(S98&gt;=134,S98&lt;=148),"A",IF(AND(S98&gt;=130,S98&lt;=133.99),"B",IF(AND(S98&gt;=126,S98&lt;=128.99),"C",IF(AND(S98&gt;=121,S98&lt;=125.99),"D",IF(AND(S98&gt;=115,S98&lt;=120.99),"E",IF(AND(S98&gt;=108,S98&lt;=114.99),"F",IF(AND(S98&gt;=0,S98&lt;=107.99),"G","")))))))</f>
        <v>D</v>
      </c>
      <c r="V98" s="26" t="s">
        <v>132</v>
      </c>
    </row>
    <row r="99" spans="1:22" ht="12.75">
      <c r="A99" s="42" t="s">
        <v>131</v>
      </c>
      <c r="B99" s="42" t="s">
        <v>166</v>
      </c>
      <c r="C99" s="29"/>
      <c r="D99" s="28"/>
      <c r="E99" s="29"/>
      <c r="F99" s="29"/>
      <c r="G99" s="29"/>
      <c r="H99" s="29">
        <f>SUM(600+600)</f>
        <v>1200</v>
      </c>
      <c r="I99" s="29"/>
      <c r="J99" s="28"/>
      <c r="K99" s="29"/>
      <c r="L99" s="28"/>
      <c r="M99" s="28"/>
      <c r="N99" s="28"/>
      <c r="O99" s="28"/>
      <c r="P99" s="44"/>
      <c r="Q99" s="28"/>
      <c r="R99" s="30">
        <f t="shared" si="15"/>
        <v>1200</v>
      </c>
      <c r="S99" s="24">
        <f t="shared" si="16"/>
        <v>120</v>
      </c>
      <c r="T99" s="21" t="str">
        <f aca="true" t="shared" si="17" ref="T99:T119">IF(AND(S99&gt;=134,S99&lt;=148),"A",IF(AND(S99&gt;=130,S99&lt;=133.99),"B",IF(AND(S99&gt;=126,S99&lt;=129.99),"C",IF(AND(S99&gt;=121,S99&lt;=125.99),"D",IF(AND(S99&gt;=115,S99&lt;=120.99),"E",IF(AND(S99&gt;=108,S99&lt;=114.99),"F",IF(AND(S99&gt;=0,S99&lt;=107.99),"G","")))))))</f>
        <v>E</v>
      </c>
      <c r="U99" s="33"/>
      <c r="V99" s="26" t="s">
        <v>132</v>
      </c>
    </row>
    <row r="100" spans="1:22" ht="12.75">
      <c r="A100" s="34" t="s">
        <v>212</v>
      </c>
      <c r="B100" s="34" t="s">
        <v>213</v>
      </c>
      <c r="C100" s="21">
        <f>SUM(524+571)</f>
        <v>1095</v>
      </c>
      <c r="D100" s="22"/>
      <c r="E100" s="21">
        <f>SUM(493+560)</f>
        <v>1053</v>
      </c>
      <c r="F100" s="22"/>
      <c r="G100" s="21">
        <f>SUM(611+558)</f>
        <v>1169</v>
      </c>
      <c r="H100" s="22"/>
      <c r="I100" s="21">
        <f>SUM(636)</f>
        <v>636</v>
      </c>
      <c r="J100" s="21">
        <f>SUM(613+547)</f>
        <v>1160</v>
      </c>
      <c r="K100" s="21">
        <f>SUM(604+604)</f>
        <v>1208</v>
      </c>
      <c r="L100" s="22"/>
      <c r="M100" s="22"/>
      <c r="N100" s="21"/>
      <c r="O100" s="22"/>
      <c r="P100" s="22"/>
      <c r="Q100" s="22"/>
      <c r="R100" s="30">
        <f>IF(A100="","",SUM(C100:Q100))</f>
        <v>6321</v>
      </c>
      <c r="S100" s="24">
        <f>IF(R100="","",R100/55)</f>
        <v>114.92727272727272</v>
      </c>
      <c r="T100" s="21" t="str">
        <f t="shared" si="17"/>
        <v>F</v>
      </c>
      <c r="V100" s="26" t="s">
        <v>15</v>
      </c>
    </row>
    <row r="101" spans="1:22" ht="12.75">
      <c r="A101" s="27" t="s">
        <v>267</v>
      </c>
      <c r="B101" s="34" t="s">
        <v>268</v>
      </c>
      <c r="C101" s="21"/>
      <c r="D101" s="21"/>
      <c r="E101" s="21"/>
      <c r="F101" s="21"/>
      <c r="G101" s="21"/>
      <c r="H101" s="21">
        <f>SUM(525)</f>
        <v>525</v>
      </c>
      <c r="I101" s="21"/>
      <c r="J101" s="21"/>
      <c r="K101" s="21"/>
      <c r="L101" s="22"/>
      <c r="M101" s="22"/>
      <c r="N101" s="28"/>
      <c r="O101" s="28"/>
      <c r="P101" s="28"/>
      <c r="Q101" s="28"/>
      <c r="R101" s="35">
        <f>IF(A101="","",AVERAGE(C101:Q101))</f>
        <v>525</v>
      </c>
      <c r="S101" s="24">
        <f>IF(R101="","",R101/5)</f>
        <v>105</v>
      </c>
      <c r="T101" s="21" t="str">
        <f t="shared" si="17"/>
        <v>G</v>
      </c>
      <c r="V101" s="26" t="s">
        <v>26</v>
      </c>
    </row>
    <row r="102" spans="1:22" ht="12.75">
      <c r="A102" s="27" t="s">
        <v>214</v>
      </c>
      <c r="B102" s="20" t="s">
        <v>215</v>
      </c>
      <c r="C102" s="22"/>
      <c r="D102" s="22"/>
      <c r="E102" s="21">
        <f>SUM(569+550)</f>
        <v>1119</v>
      </c>
      <c r="F102" s="22"/>
      <c r="G102" s="22"/>
      <c r="H102" s="22"/>
      <c r="I102" s="22"/>
      <c r="J102" s="22"/>
      <c r="K102" s="22"/>
      <c r="L102" s="22"/>
      <c r="M102" s="22"/>
      <c r="N102" s="28"/>
      <c r="O102" s="28"/>
      <c r="P102" s="28"/>
      <c r="Q102" s="28"/>
      <c r="R102" s="29">
        <f>IF(A102="","",AVERAGE(C102:Q102))</f>
        <v>1119</v>
      </c>
      <c r="S102" s="24">
        <f>IF(R102="","",R102/10)</f>
        <v>111.9</v>
      </c>
      <c r="T102" s="21" t="str">
        <f t="shared" si="17"/>
        <v>F</v>
      </c>
      <c r="V102" s="40" t="s">
        <v>29</v>
      </c>
    </row>
    <row r="103" spans="1:22" ht="12.75">
      <c r="A103" s="27" t="s">
        <v>133</v>
      </c>
      <c r="B103" s="34" t="s">
        <v>134</v>
      </c>
      <c r="C103" s="21"/>
      <c r="D103" s="21"/>
      <c r="E103" s="21"/>
      <c r="F103" s="21"/>
      <c r="G103" s="21">
        <f>SUM(631+619)</f>
        <v>1250</v>
      </c>
      <c r="H103" s="21"/>
      <c r="I103" s="21"/>
      <c r="J103" s="21"/>
      <c r="K103" s="21"/>
      <c r="L103" s="22"/>
      <c r="M103" s="22"/>
      <c r="N103" s="28"/>
      <c r="O103" s="28"/>
      <c r="P103" s="28"/>
      <c r="Q103" s="28"/>
      <c r="R103" s="7">
        <f>IF(A103="","",SUM(C103:Q103))</f>
        <v>1250</v>
      </c>
      <c r="S103" s="24">
        <f>IF(R103="","",R103/10)</f>
        <v>125</v>
      </c>
      <c r="T103" s="21" t="str">
        <f t="shared" si="17"/>
        <v>D</v>
      </c>
      <c r="U103" s="25"/>
      <c r="V103" s="41"/>
    </row>
    <row r="104" spans="1:22" ht="12.75">
      <c r="A104" s="27" t="s">
        <v>216</v>
      </c>
      <c r="B104" s="34" t="s">
        <v>217</v>
      </c>
      <c r="C104" s="21"/>
      <c r="D104" s="22"/>
      <c r="E104" s="21"/>
      <c r="F104" s="21"/>
      <c r="G104" s="21"/>
      <c r="H104" s="21">
        <f>SUM(567)</f>
        <v>567</v>
      </c>
      <c r="I104" s="22"/>
      <c r="J104" s="21"/>
      <c r="K104" s="21"/>
      <c r="L104" s="22"/>
      <c r="M104" s="22"/>
      <c r="N104" s="28"/>
      <c r="O104" s="28"/>
      <c r="P104" s="28"/>
      <c r="Q104" s="28"/>
      <c r="R104" s="35">
        <f aca="true" t="shared" si="18" ref="R104:R115">IF(A104="","",AVERAGE(C104:Q104))</f>
        <v>567</v>
      </c>
      <c r="S104" s="24">
        <f>IF(R104="","",R104/5)</f>
        <v>113.4</v>
      </c>
      <c r="T104" s="21" t="str">
        <f t="shared" si="17"/>
        <v>F</v>
      </c>
      <c r="V104" s="26" t="s">
        <v>26</v>
      </c>
    </row>
    <row r="105" spans="1:22" ht="12.75">
      <c r="A105" s="27" t="s">
        <v>75</v>
      </c>
      <c r="B105" s="27" t="s">
        <v>76</v>
      </c>
      <c r="C105" s="21">
        <f>SUM(679+670)</f>
        <v>1349</v>
      </c>
      <c r="D105" s="21">
        <f>SUM(685+647)</f>
        <v>1332</v>
      </c>
      <c r="E105" s="21"/>
      <c r="F105" s="22"/>
      <c r="G105" s="21">
        <f>SUM(696+627)</f>
        <v>1323</v>
      </c>
      <c r="H105" s="21"/>
      <c r="I105" s="21">
        <f>SUM(663+656)</f>
        <v>1319</v>
      </c>
      <c r="J105" s="21">
        <f>SUM(686+597)</f>
        <v>1283</v>
      </c>
      <c r="K105" s="21">
        <f>SUM(684+652)</f>
        <v>1336</v>
      </c>
      <c r="L105" s="22"/>
      <c r="M105" s="22"/>
      <c r="N105" s="28"/>
      <c r="O105" s="28"/>
      <c r="P105" s="28"/>
      <c r="Q105" s="28"/>
      <c r="R105" s="35">
        <f t="shared" si="18"/>
        <v>1323.6666666666667</v>
      </c>
      <c r="S105" s="24">
        <f aca="true" t="shared" si="19" ref="S105:S111">IF(R105="","",R105/10)</f>
        <v>132.36666666666667</v>
      </c>
      <c r="T105" s="21" t="str">
        <f t="shared" si="17"/>
        <v>B</v>
      </c>
      <c r="V105" s="41"/>
    </row>
    <row r="106" spans="1:22" ht="12.75">
      <c r="A106" s="42" t="s">
        <v>135</v>
      </c>
      <c r="B106" s="42" t="s">
        <v>31</v>
      </c>
      <c r="C106" s="28"/>
      <c r="D106" s="28"/>
      <c r="E106" s="29">
        <f>SUM(625+625)</f>
        <v>1250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>
        <f t="shared" si="18"/>
        <v>1250</v>
      </c>
      <c r="S106" s="24">
        <f t="shared" si="19"/>
        <v>125</v>
      </c>
      <c r="T106" s="21" t="str">
        <f t="shared" si="17"/>
        <v>D</v>
      </c>
      <c r="V106" s="46"/>
    </row>
    <row r="107" spans="1:22" ht="12.75">
      <c r="A107" s="27" t="s">
        <v>269</v>
      </c>
      <c r="B107" s="27" t="s">
        <v>206</v>
      </c>
      <c r="C107" s="22"/>
      <c r="D107" s="21">
        <f>SUM(503+414)</f>
        <v>917</v>
      </c>
      <c r="E107" s="22"/>
      <c r="F107" s="22"/>
      <c r="G107" s="22"/>
      <c r="H107" s="21"/>
      <c r="I107" s="21"/>
      <c r="J107" s="22"/>
      <c r="K107" s="22"/>
      <c r="L107" s="22"/>
      <c r="M107" s="22"/>
      <c r="N107" s="28"/>
      <c r="O107" s="28"/>
      <c r="P107" s="28"/>
      <c r="Q107" s="28"/>
      <c r="R107" s="35">
        <f t="shared" si="18"/>
        <v>917</v>
      </c>
      <c r="S107" s="24">
        <f t="shared" si="19"/>
        <v>91.7</v>
      </c>
      <c r="T107" s="21" t="str">
        <f t="shared" si="17"/>
        <v>G</v>
      </c>
      <c r="U107" s="25"/>
      <c r="V107" s="26" t="s">
        <v>15</v>
      </c>
    </row>
    <row r="108" spans="1:22" ht="12.75">
      <c r="A108" s="27" t="s">
        <v>136</v>
      </c>
      <c r="B108" s="19" t="s">
        <v>137</v>
      </c>
      <c r="C108" s="22"/>
      <c r="D108" s="21">
        <f>SUM(588+584)</f>
        <v>1172</v>
      </c>
      <c r="E108" s="22"/>
      <c r="F108" s="38"/>
      <c r="G108" s="21">
        <f>SUM(656+661)</f>
        <v>1317</v>
      </c>
      <c r="H108" s="21">
        <f>SUM(678+604)</f>
        <v>1282</v>
      </c>
      <c r="I108" s="21">
        <f>SUM(645+626)</f>
        <v>1271</v>
      </c>
      <c r="J108" s="22"/>
      <c r="K108" s="21">
        <f>SUM(661+596)</f>
        <v>1257</v>
      </c>
      <c r="L108" s="22"/>
      <c r="M108" s="22"/>
      <c r="N108" s="28"/>
      <c r="O108" s="28"/>
      <c r="P108" s="28"/>
      <c r="Q108" s="28"/>
      <c r="R108" s="30">
        <f t="shared" si="18"/>
        <v>1259.8</v>
      </c>
      <c r="S108" s="24">
        <f t="shared" si="19"/>
        <v>125.97999999999999</v>
      </c>
      <c r="T108" s="21" t="str">
        <f t="shared" si="17"/>
        <v>D</v>
      </c>
      <c r="V108" s="26" t="s">
        <v>26</v>
      </c>
    </row>
    <row r="109" spans="1:22" ht="12.75">
      <c r="A109" s="34" t="s">
        <v>77</v>
      </c>
      <c r="B109" s="34" t="s">
        <v>60</v>
      </c>
      <c r="C109" s="21">
        <f>SUM(695+632)</f>
        <v>1327</v>
      </c>
      <c r="D109" s="21">
        <f>SUM(679+656)</f>
        <v>1335</v>
      </c>
      <c r="E109" s="21">
        <f>SUM(644+613)</f>
        <v>1257</v>
      </c>
      <c r="F109" s="21">
        <f>SUM(669+641)</f>
        <v>1310</v>
      </c>
      <c r="G109" s="21"/>
      <c r="H109" s="21">
        <f>SUM(681+620)</f>
        <v>1301</v>
      </c>
      <c r="I109" s="21">
        <f>SUM(688+648)</f>
        <v>1336</v>
      </c>
      <c r="J109" s="21">
        <f>SUM(684+630)</f>
        <v>1314</v>
      </c>
      <c r="K109" s="21">
        <f>SUM(683+617)</f>
        <v>1300</v>
      </c>
      <c r="L109" s="22"/>
      <c r="M109" s="22"/>
      <c r="N109" s="21"/>
      <c r="O109" s="22"/>
      <c r="P109" s="22"/>
      <c r="Q109" s="22"/>
      <c r="R109" s="23">
        <f t="shared" si="18"/>
        <v>1310</v>
      </c>
      <c r="S109" s="24">
        <f t="shared" si="19"/>
        <v>131</v>
      </c>
      <c r="T109" s="21" t="str">
        <f t="shared" si="17"/>
        <v>B</v>
      </c>
      <c r="V109" s="26" t="s">
        <v>78</v>
      </c>
    </row>
    <row r="110" spans="1:22" ht="12.75">
      <c r="A110" s="34" t="s">
        <v>167</v>
      </c>
      <c r="B110" s="34" t="s">
        <v>168</v>
      </c>
      <c r="C110" s="22"/>
      <c r="D110" s="21"/>
      <c r="E110" s="22"/>
      <c r="F110" s="22"/>
      <c r="G110" s="21"/>
      <c r="H110" s="21">
        <f>SUM(636+541)</f>
        <v>1177</v>
      </c>
      <c r="I110" s="22"/>
      <c r="J110" s="22"/>
      <c r="K110" s="21"/>
      <c r="L110" s="22"/>
      <c r="M110" s="22"/>
      <c r="N110" s="22"/>
      <c r="O110" s="22"/>
      <c r="P110" s="22"/>
      <c r="Q110" s="22"/>
      <c r="R110" s="35">
        <f t="shared" si="18"/>
        <v>1177</v>
      </c>
      <c r="S110" s="24">
        <f t="shared" si="19"/>
        <v>117.7</v>
      </c>
      <c r="T110" s="21" t="str">
        <f t="shared" si="17"/>
        <v>E</v>
      </c>
      <c r="V110" s="26" t="s">
        <v>26</v>
      </c>
    </row>
    <row r="111" spans="1:22" ht="12.75">
      <c r="A111" s="27" t="s">
        <v>79</v>
      </c>
      <c r="B111" s="34" t="s">
        <v>80</v>
      </c>
      <c r="C111" s="22"/>
      <c r="D111" s="21"/>
      <c r="E111" s="21"/>
      <c r="F111" s="21">
        <f>SUM(688+650)</f>
        <v>1338</v>
      </c>
      <c r="G111" s="21"/>
      <c r="H111" s="21">
        <f>SUM(692+636)</f>
        <v>1328</v>
      </c>
      <c r="I111" s="22"/>
      <c r="J111" s="21"/>
      <c r="K111" s="21"/>
      <c r="L111" s="22"/>
      <c r="M111" s="22"/>
      <c r="N111" s="28"/>
      <c r="O111" s="28"/>
      <c r="P111" s="28"/>
      <c r="Q111" s="28"/>
      <c r="R111" s="30">
        <f t="shared" si="18"/>
        <v>1333</v>
      </c>
      <c r="S111" s="24">
        <f t="shared" si="19"/>
        <v>133.3</v>
      </c>
      <c r="T111" s="21" t="str">
        <f t="shared" si="17"/>
        <v>B</v>
      </c>
      <c r="V111" s="26" t="s">
        <v>81</v>
      </c>
    </row>
    <row r="112" spans="1:22" ht="12.75">
      <c r="A112" s="27" t="s">
        <v>218</v>
      </c>
      <c r="B112" s="27" t="s">
        <v>119</v>
      </c>
      <c r="C112" s="22"/>
      <c r="D112" s="22"/>
      <c r="E112" s="21"/>
      <c r="F112" s="22"/>
      <c r="G112" s="21">
        <f>SUM(568)</f>
        <v>568</v>
      </c>
      <c r="H112" s="22"/>
      <c r="I112" s="22"/>
      <c r="J112" s="22"/>
      <c r="K112" s="31">
        <f>SUM(560)</f>
        <v>560</v>
      </c>
      <c r="L112" s="22"/>
      <c r="M112" s="22"/>
      <c r="N112" s="28"/>
      <c r="O112" s="28"/>
      <c r="P112" s="28"/>
      <c r="Q112" s="28"/>
      <c r="R112" s="29">
        <f t="shared" si="18"/>
        <v>564</v>
      </c>
      <c r="S112" s="24">
        <f>IF(R112="","",R112/5)</f>
        <v>112.8</v>
      </c>
      <c r="T112" s="21" t="str">
        <f t="shared" si="17"/>
        <v>F</v>
      </c>
      <c r="V112" s="40" t="s">
        <v>43</v>
      </c>
    </row>
    <row r="113" spans="1:22" ht="12.75">
      <c r="A113" s="27" t="s">
        <v>219</v>
      </c>
      <c r="B113" s="19" t="s">
        <v>220</v>
      </c>
      <c r="C113" s="22"/>
      <c r="D113" s="21">
        <f>SUM(601+518)</f>
        <v>1119</v>
      </c>
      <c r="E113" s="22"/>
      <c r="F113" s="22"/>
      <c r="G113" s="22"/>
      <c r="H113" s="22"/>
      <c r="I113" s="21"/>
      <c r="J113" s="22"/>
      <c r="K113" s="22"/>
      <c r="L113" s="22"/>
      <c r="M113" s="22"/>
      <c r="N113" s="28"/>
      <c r="O113" s="28"/>
      <c r="P113" s="28"/>
      <c r="Q113" s="28"/>
      <c r="R113" s="29">
        <f t="shared" si="18"/>
        <v>1119</v>
      </c>
      <c r="S113" s="24">
        <f>IF(R113="","",R113/10)</f>
        <v>111.9</v>
      </c>
      <c r="T113" s="21" t="str">
        <f t="shared" si="17"/>
        <v>F</v>
      </c>
      <c r="U113" s="25"/>
      <c r="V113" s="46"/>
    </row>
    <row r="114" spans="1:22" ht="12.75">
      <c r="A114" s="27" t="s">
        <v>104</v>
      </c>
      <c r="B114" s="19" t="s">
        <v>105</v>
      </c>
      <c r="C114" s="22"/>
      <c r="D114" s="22"/>
      <c r="E114" s="21">
        <f>SUM(632+629)</f>
        <v>1261</v>
      </c>
      <c r="F114" s="22"/>
      <c r="G114" s="22"/>
      <c r="H114" s="22"/>
      <c r="I114" s="21"/>
      <c r="J114" s="22"/>
      <c r="K114" s="22"/>
      <c r="L114" s="22"/>
      <c r="M114" s="22"/>
      <c r="N114" s="28"/>
      <c r="O114" s="28"/>
      <c r="P114" s="28"/>
      <c r="Q114" s="28"/>
      <c r="R114" s="7">
        <f t="shared" si="18"/>
        <v>1261</v>
      </c>
      <c r="S114" s="24">
        <f>IF(R114="","",R114/10)</f>
        <v>126.1</v>
      </c>
      <c r="T114" s="21" t="str">
        <f t="shared" si="17"/>
        <v>C</v>
      </c>
      <c r="V114" s="26" t="s">
        <v>106</v>
      </c>
    </row>
    <row r="115" spans="1:22" ht="12.75">
      <c r="A115" s="34" t="s">
        <v>36</v>
      </c>
      <c r="B115" s="34" t="s">
        <v>37</v>
      </c>
      <c r="C115" s="22"/>
      <c r="D115" s="21"/>
      <c r="E115" s="22"/>
      <c r="F115" s="22"/>
      <c r="G115" s="21">
        <f>SUM(720+631)</f>
        <v>1351</v>
      </c>
      <c r="H115" s="21">
        <f>SUM(727+707)</f>
        <v>1434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35">
        <f t="shared" si="18"/>
        <v>1392.5</v>
      </c>
      <c r="S115" s="24">
        <f>IF(R115="","",R115/10)</f>
        <v>139.25</v>
      </c>
      <c r="T115" s="21" t="str">
        <f t="shared" si="17"/>
        <v>A</v>
      </c>
      <c r="V115" s="26" t="s">
        <v>9</v>
      </c>
    </row>
    <row r="116" spans="1:22" ht="12.75">
      <c r="A116" s="27" t="s">
        <v>36</v>
      </c>
      <c r="B116" s="20" t="s">
        <v>14</v>
      </c>
      <c r="C116" s="22"/>
      <c r="D116" s="22"/>
      <c r="E116" s="21">
        <f>SUM(698)</f>
        <v>698</v>
      </c>
      <c r="F116" s="22"/>
      <c r="G116" s="21">
        <f>SUM(686+601)</f>
        <v>1287</v>
      </c>
      <c r="H116" s="21">
        <f>SUM(676)</f>
        <v>676</v>
      </c>
      <c r="I116" s="21"/>
      <c r="J116" s="22"/>
      <c r="K116" s="22"/>
      <c r="L116" s="22"/>
      <c r="M116" s="22"/>
      <c r="N116" s="28"/>
      <c r="O116" s="28"/>
      <c r="P116" s="28"/>
      <c r="Q116" s="28"/>
      <c r="R116" s="29">
        <f>IF(A116="","",SUM(C116:Q116))</f>
        <v>2661</v>
      </c>
      <c r="S116" s="24">
        <f>IF(R116="","",R116/20)</f>
        <v>133.05</v>
      </c>
      <c r="T116" s="21" t="str">
        <f t="shared" si="17"/>
        <v>B</v>
      </c>
      <c r="U116" s="33"/>
      <c r="V116" s="26" t="s">
        <v>9</v>
      </c>
    </row>
    <row r="117" spans="1:22" ht="12.75">
      <c r="A117" s="27" t="s">
        <v>221</v>
      </c>
      <c r="B117" s="27" t="s">
        <v>101</v>
      </c>
      <c r="C117" s="21">
        <f>SUM(590+544)</f>
        <v>1134</v>
      </c>
      <c r="D117" s="21">
        <f>SUM(606+534)</f>
        <v>1140</v>
      </c>
      <c r="E117" s="21"/>
      <c r="F117" s="21">
        <f>SUM(568)</f>
        <v>568</v>
      </c>
      <c r="G117" s="21"/>
      <c r="H117" s="22"/>
      <c r="I117" s="21">
        <f>SUM(588+528)</f>
        <v>1116</v>
      </c>
      <c r="J117" s="21">
        <f>SUM(593+600)</f>
        <v>1193</v>
      </c>
      <c r="K117" s="21">
        <f>SUM(608+541)</f>
        <v>1149</v>
      </c>
      <c r="L117" s="22"/>
      <c r="M117" s="22"/>
      <c r="N117" s="28"/>
      <c r="O117" s="28"/>
      <c r="P117" s="28"/>
      <c r="Q117" s="28"/>
      <c r="R117" s="30">
        <f>IF(A117="","",SUM(C117:Q117))</f>
        <v>6300</v>
      </c>
      <c r="S117" s="24">
        <f>IF(R117="","",R117/55)</f>
        <v>114.54545454545455</v>
      </c>
      <c r="T117" s="21" t="str">
        <f t="shared" si="17"/>
        <v>F</v>
      </c>
      <c r="V117" s="26" t="s">
        <v>171</v>
      </c>
    </row>
    <row r="118" spans="1:22" ht="12.75">
      <c r="A118" s="27" t="s">
        <v>38</v>
      </c>
      <c r="B118" s="34" t="s">
        <v>39</v>
      </c>
      <c r="C118" s="21">
        <f>SUM(688+661)</f>
        <v>1349</v>
      </c>
      <c r="D118" s="21">
        <f>SUM(677)</f>
        <v>677</v>
      </c>
      <c r="E118" s="21">
        <f>SUM(679+665)</f>
        <v>1344</v>
      </c>
      <c r="F118" s="21">
        <f>SUM(687+670)</f>
        <v>1357</v>
      </c>
      <c r="G118" s="22"/>
      <c r="H118" s="21">
        <f>SUM(690+641)</f>
        <v>1331</v>
      </c>
      <c r="I118" s="22"/>
      <c r="J118" s="21">
        <f>SUM(708+641)</f>
        <v>1349</v>
      </c>
      <c r="K118" s="21">
        <f>SUM(710+630)</f>
        <v>1340</v>
      </c>
      <c r="L118" s="22"/>
      <c r="M118" s="22"/>
      <c r="N118" s="28"/>
      <c r="O118" s="28"/>
      <c r="P118" s="28"/>
      <c r="Q118" s="28"/>
      <c r="R118" s="29">
        <f>IF(A118="","",SUM(C118:Q118))</f>
        <v>8747</v>
      </c>
      <c r="S118" s="24">
        <f>IF(R118="","",R118/65)</f>
        <v>134.56923076923076</v>
      </c>
      <c r="T118" s="21" t="str">
        <f t="shared" si="17"/>
        <v>A</v>
      </c>
      <c r="V118" s="26" t="s">
        <v>40</v>
      </c>
    </row>
    <row r="119" spans="1:22" ht="12.75">
      <c r="A119" s="27" t="s">
        <v>38</v>
      </c>
      <c r="B119" s="34" t="s">
        <v>138</v>
      </c>
      <c r="C119" s="21">
        <f>SUM(644+661)</f>
        <v>1305</v>
      </c>
      <c r="D119" s="21">
        <f>SUM(675+586)</f>
        <v>1261</v>
      </c>
      <c r="E119" s="21"/>
      <c r="F119" s="21">
        <f>SUM(667+548)</f>
        <v>1215</v>
      </c>
      <c r="G119" s="21"/>
      <c r="H119" s="21">
        <f>SUM(662+551)</f>
        <v>1213</v>
      </c>
      <c r="I119" s="21"/>
      <c r="J119" s="21">
        <f>SUM(640+586)</f>
        <v>1226</v>
      </c>
      <c r="K119" s="21">
        <f>SUM(659+623)</f>
        <v>1282</v>
      </c>
      <c r="L119" s="22"/>
      <c r="M119" s="22"/>
      <c r="N119" s="28"/>
      <c r="O119" s="28"/>
      <c r="P119" s="28"/>
      <c r="Q119" s="28"/>
      <c r="R119" s="35">
        <f>IF(A119="","",AVERAGE(C119:Q119))</f>
        <v>1250.3333333333333</v>
      </c>
      <c r="S119" s="24">
        <f aca="true" t="shared" si="20" ref="S119:S144">IF(R119="","",R119/10)</f>
        <v>125.03333333333333</v>
      </c>
      <c r="T119" s="21" t="str">
        <f t="shared" si="17"/>
        <v>D</v>
      </c>
      <c r="U119" s="25"/>
      <c r="V119" s="26" t="s">
        <v>40</v>
      </c>
    </row>
    <row r="120" spans="1:22" ht="12.75">
      <c r="A120" s="27" t="s">
        <v>270</v>
      </c>
      <c r="B120" s="27" t="s">
        <v>235</v>
      </c>
      <c r="C120" s="22"/>
      <c r="D120" s="22"/>
      <c r="E120" s="22"/>
      <c r="F120" s="22"/>
      <c r="G120" s="22"/>
      <c r="H120" s="22"/>
      <c r="I120" s="21">
        <f>SUM(540+516)</f>
        <v>1056</v>
      </c>
      <c r="J120" s="22"/>
      <c r="K120" s="22"/>
      <c r="L120" s="22"/>
      <c r="M120" s="22"/>
      <c r="N120" s="28"/>
      <c r="O120" s="28"/>
      <c r="P120" s="28"/>
      <c r="Q120" s="28"/>
      <c r="R120" s="29">
        <f>IF(A120="","",AVERAGE(C120:Q120))</f>
        <v>1056</v>
      </c>
      <c r="S120" s="24">
        <f t="shared" si="20"/>
        <v>105.6</v>
      </c>
      <c r="T120" s="21" t="str">
        <f>IF(AND(S120&gt;=133,S120&lt;=148),"A",IF(AND(S120&gt;=128,S120&lt;=132.99),"B",IF(AND(S120&gt;=123,S120&lt;=127.99),"C",IF(AND(S120&gt;=118,S120&lt;=122.99),"D",IF(AND(S120&gt;=113,S120&lt;=117.99),"E",IF(AND(S120&gt;=108,S120&lt;=112.99),"F",IF(AND(S120&gt;=0,S120&lt;=107.99),"G","")))))))</f>
        <v>G</v>
      </c>
      <c r="V120" s="41" t="s">
        <v>263</v>
      </c>
    </row>
    <row r="121" spans="1:22" ht="12.75">
      <c r="A121" s="34" t="s">
        <v>222</v>
      </c>
      <c r="B121" s="34" t="s">
        <v>223</v>
      </c>
      <c r="C121" s="21"/>
      <c r="D121" s="22"/>
      <c r="E121" s="21">
        <f>SUM(611+501)</f>
        <v>1112</v>
      </c>
      <c r="F121" s="21"/>
      <c r="G121" s="22"/>
      <c r="H121" s="21"/>
      <c r="I121" s="21"/>
      <c r="J121" s="22"/>
      <c r="K121" s="21"/>
      <c r="L121" s="22"/>
      <c r="M121" s="22"/>
      <c r="N121" s="22"/>
      <c r="O121" s="22"/>
      <c r="P121" s="22"/>
      <c r="Q121" s="22"/>
      <c r="R121" s="30">
        <f>IF(A121="","",SUM(C121:Q121))</f>
        <v>1112</v>
      </c>
      <c r="S121" s="24">
        <f t="shared" si="20"/>
        <v>111.2</v>
      </c>
      <c r="T121" s="21" t="str">
        <f aca="true" t="shared" si="21" ref="T121:T126">IF(AND(S121&gt;=134,S121&lt;=148),"A",IF(AND(S121&gt;=130,S121&lt;=133.99),"B",IF(AND(S121&gt;=126,S121&lt;=129.99),"C",IF(AND(S121&gt;=121,S121&lt;=125.99),"D",IF(AND(S121&gt;=115,S121&lt;=120.99),"E",IF(AND(S121&gt;=108,S121&lt;=114.99),"F",IF(AND(S121&gt;=0,S121&lt;=107.99),"G","")))))))</f>
        <v>F</v>
      </c>
      <c r="U121" s="25"/>
      <c r="V121" s="26" t="s">
        <v>132</v>
      </c>
    </row>
    <row r="122" spans="1:22" ht="12.75">
      <c r="A122" s="27" t="s">
        <v>224</v>
      </c>
      <c r="B122" s="20" t="s">
        <v>225</v>
      </c>
      <c r="C122" s="21"/>
      <c r="D122" s="21"/>
      <c r="E122" s="21"/>
      <c r="F122" s="21"/>
      <c r="G122" s="21"/>
      <c r="H122" s="21">
        <f>SUM(568+527)</f>
        <v>1095</v>
      </c>
      <c r="I122" s="21"/>
      <c r="J122" s="21"/>
      <c r="K122" s="21"/>
      <c r="L122" s="22"/>
      <c r="M122" s="22"/>
      <c r="N122" s="28"/>
      <c r="O122" s="28"/>
      <c r="P122" s="28"/>
      <c r="Q122" s="28"/>
      <c r="R122" s="35">
        <f>IF(A122="","",SUM(C122:Q122))</f>
        <v>1095</v>
      </c>
      <c r="S122" s="24">
        <f t="shared" si="20"/>
        <v>109.5</v>
      </c>
      <c r="T122" s="21" t="str">
        <f t="shared" si="21"/>
        <v>F</v>
      </c>
      <c r="V122" s="26" t="s">
        <v>26</v>
      </c>
    </row>
    <row r="123" spans="1:22" ht="12.75">
      <c r="A123" s="27" t="s">
        <v>107</v>
      </c>
      <c r="B123" s="27" t="s">
        <v>108</v>
      </c>
      <c r="C123" s="22"/>
      <c r="D123" s="22"/>
      <c r="E123" s="21">
        <f>SUM(623+603)</f>
        <v>1226</v>
      </c>
      <c r="F123" s="22"/>
      <c r="G123" s="21">
        <f>SUM(646+656)</f>
        <v>1302</v>
      </c>
      <c r="H123" s="21">
        <f>SUM(654+609)</f>
        <v>1263</v>
      </c>
      <c r="I123" s="21">
        <f>SUM(627+647)</f>
        <v>1274</v>
      </c>
      <c r="J123" s="21">
        <f>SUM(673+626)</f>
        <v>1299</v>
      </c>
      <c r="K123" s="21">
        <f>SUM(664+658)</f>
        <v>1322</v>
      </c>
      <c r="L123" s="22"/>
      <c r="M123" s="22"/>
      <c r="N123" s="28"/>
      <c r="O123" s="28"/>
      <c r="P123" s="28"/>
      <c r="Q123" s="28"/>
      <c r="R123" s="35">
        <f aca="true" t="shared" si="22" ref="R123:R146">IF(A123="","",AVERAGE(C123:Q123))</f>
        <v>1281</v>
      </c>
      <c r="S123" s="24">
        <f t="shared" si="20"/>
        <v>128.1</v>
      </c>
      <c r="T123" s="21" t="str">
        <f t="shared" si="21"/>
        <v>C</v>
      </c>
      <c r="V123" s="40" t="s">
        <v>61</v>
      </c>
    </row>
    <row r="124" spans="1:22" ht="12.75">
      <c r="A124" s="27" t="s">
        <v>271</v>
      </c>
      <c r="B124" s="27" t="s">
        <v>101</v>
      </c>
      <c r="C124" s="21">
        <f>SUM(537+514)</f>
        <v>1051</v>
      </c>
      <c r="D124" s="21">
        <f>SUM(549+560)</f>
        <v>1109</v>
      </c>
      <c r="E124" s="21">
        <f>SUM(517+491)</f>
        <v>1008</v>
      </c>
      <c r="F124" s="21">
        <f>SUM(539+498)</f>
        <v>1037</v>
      </c>
      <c r="G124" s="22"/>
      <c r="H124" s="21"/>
      <c r="I124" s="21"/>
      <c r="J124" s="22"/>
      <c r="K124" s="22"/>
      <c r="L124" s="22"/>
      <c r="M124" s="22"/>
      <c r="N124" s="28"/>
      <c r="O124" s="28"/>
      <c r="P124" s="28"/>
      <c r="Q124" s="28"/>
      <c r="R124" s="35">
        <f t="shared" si="22"/>
        <v>1051.25</v>
      </c>
      <c r="S124" s="24">
        <f t="shared" si="20"/>
        <v>105.125</v>
      </c>
      <c r="T124" s="21" t="str">
        <f t="shared" si="21"/>
        <v>G</v>
      </c>
      <c r="V124" s="26" t="s">
        <v>97</v>
      </c>
    </row>
    <row r="125" spans="1:22" ht="12.75">
      <c r="A125" s="34" t="s">
        <v>226</v>
      </c>
      <c r="B125" s="34" t="s">
        <v>51</v>
      </c>
      <c r="C125" s="22"/>
      <c r="D125" s="22"/>
      <c r="E125" s="21">
        <f>SUM(577+510)</f>
        <v>1087</v>
      </c>
      <c r="F125" s="21"/>
      <c r="G125" s="21"/>
      <c r="H125" s="21"/>
      <c r="I125" s="21"/>
      <c r="J125" s="21"/>
      <c r="K125" s="21"/>
      <c r="L125" s="22"/>
      <c r="M125" s="22"/>
      <c r="N125" s="21"/>
      <c r="O125" s="22"/>
      <c r="P125" s="22"/>
      <c r="Q125" s="22"/>
      <c r="R125" s="30">
        <f t="shared" si="22"/>
        <v>1087</v>
      </c>
      <c r="S125" s="24">
        <f t="shared" si="20"/>
        <v>108.7</v>
      </c>
      <c r="T125" s="21" t="str">
        <f t="shared" si="21"/>
        <v>F</v>
      </c>
      <c r="U125" s="25"/>
      <c r="V125" s="26" t="s">
        <v>156</v>
      </c>
    </row>
    <row r="126" spans="1:22" ht="12.75">
      <c r="A126" s="19" t="s">
        <v>169</v>
      </c>
      <c r="B126" s="20" t="s">
        <v>170</v>
      </c>
      <c r="C126" s="21">
        <f>SUM(604+520)</f>
        <v>1124</v>
      </c>
      <c r="D126" s="21">
        <f>SUM(599+539)</f>
        <v>1138</v>
      </c>
      <c r="E126" s="22"/>
      <c r="F126" s="21">
        <f>SUM(613+598)</f>
        <v>1211</v>
      </c>
      <c r="G126" s="22"/>
      <c r="H126" s="22"/>
      <c r="I126" s="21">
        <f>SUM(612+576)</f>
        <v>1188</v>
      </c>
      <c r="J126" s="21">
        <f>SUM(578+592)</f>
        <v>1170</v>
      </c>
      <c r="K126" s="21">
        <f>SUM(614+588)</f>
        <v>1202</v>
      </c>
      <c r="L126" s="22"/>
      <c r="M126" s="22"/>
      <c r="N126" s="22"/>
      <c r="O126" s="22"/>
      <c r="P126" s="22"/>
      <c r="Q126" s="22"/>
      <c r="R126" s="30">
        <f t="shared" si="22"/>
        <v>1172.1666666666667</v>
      </c>
      <c r="S126" s="24">
        <f t="shared" si="20"/>
        <v>117.21666666666667</v>
      </c>
      <c r="T126" s="21" t="str">
        <f t="shared" si="21"/>
        <v>E</v>
      </c>
      <c r="V126" s="26" t="s">
        <v>171</v>
      </c>
    </row>
    <row r="127" spans="1:22" ht="12.75">
      <c r="A127" s="27" t="s">
        <v>227</v>
      </c>
      <c r="B127" s="34" t="s">
        <v>228</v>
      </c>
      <c r="C127" s="22"/>
      <c r="D127" s="22"/>
      <c r="E127" s="22"/>
      <c r="F127" s="22"/>
      <c r="G127" s="22"/>
      <c r="H127" s="22"/>
      <c r="I127" s="22"/>
      <c r="J127" s="21">
        <f>SUM(577+517)</f>
        <v>1094</v>
      </c>
      <c r="K127" s="22"/>
      <c r="L127" s="22"/>
      <c r="M127" s="22"/>
      <c r="N127" s="28"/>
      <c r="O127" s="28"/>
      <c r="P127" s="28"/>
      <c r="Q127" s="28"/>
      <c r="R127" s="7">
        <f t="shared" si="22"/>
        <v>1094</v>
      </c>
      <c r="S127" s="24">
        <f t="shared" si="20"/>
        <v>109.4</v>
      </c>
      <c r="T127" s="21" t="str">
        <f>IF(AND(S127&gt;=133,S127&lt;=148),"A",IF(AND(S127&gt;=128,S127&lt;=132.99),"B",IF(AND(S127&gt;=123,S127&lt;=127.99),"C",IF(AND(S127&gt;=118,S127&lt;=122.99),"D",IF(AND(S127&gt;=113,S127&lt;=117.99),"E",IF(AND(S127&gt;=108,S127&lt;=112.99),"F",IF(AND(S127&gt;=0,S127&lt;=107.99),"G","")))))))</f>
        <v>F</v>
      </c>
      <c r="V127" s="40" t="s">
        <v>61</v>
      </c>
    </row>
    <row r="128" spans="1:22" ht="12.75">
      <c r="A128" s="34" t="s">
        <v>139</v>
      </c>
      <c r="B128" s="34" t="s">
        <v>140</v>
      </c>
      <c r="C128" s="22"/>
      <c r="D128" s="22"/>
      <c r="E128" s="21"/>
      <c r="F128" s="22"/>
      <c r="G128" s="22"/>
      <c r="H128" s="21">
        <f>SUM(620+620)</f>
        <v>1240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39">
        <f t="shared" si="22"/>
        <v>1240</v>
      </c>
      <c r="S128" s="24">
        <f t="shared" si="20"/>
        <v>124</v>
      </c>
      <c r="T128" s="21" t="str">
        <f aca="true" t="shared" si="23" ref="T128:T161">IF(AND(S128&gt;=134,S128&lt;=148),"A",IF(AND(S128&gt;=130,S128&lt;=133.99),"B",IF(AND(S128&gt;=126,S128&lt;=129.99),"C",IF(AND(S128&gt;=121,S128&lt;=125.99),"D",IF(AND(S128&gt;=115,S128&lt;=120.99),"E",IF(AND(S128&gt;=108,S128&lt;=114.99),"F",IF(AND(S128&gt;=0,S128&lt;=107.99),"G","")))))))</f>
        <v>D</v>
      </c>
      <c r="U128" s="32"/>
      <c r="V128" s="26" t="s">
        <v>106</v>
      </c>
    </row>
    <row r="129" spans="1:22" ht="12.75">
      <c r="A129" s="27" t="s">
        <v>272</v>
      </c>
      <c r="B129" s="34" t="s">
        <v>273</v>
      </c>
      <c r="C129" s="22"/>
      <c r="D129" s="22"/>
      <c r="E129" s="22"/>
      <c r="F129" s="21">
        <f>SUM(584+472)</f>
        <v>1056</v>
      </c>
      <c r="G129" s="22"/>
      <c r="H129" s="22"/>
      <c r="I129" s="21"/>
      <c r="J129" s="22"/>
      <c r="K129" s="22"/>
      <c r="L129" s="22"/>
      <c r="M129" s="22"/>
      <c r="N129" s="28"/>
      <c r="O129" s="28"/>
      <c r="P129" s="28"/>
      <c r="Q129" s="28"/>
      <c r="R129" s="7">
        <f t="shared" si="22"/>
        <v>1056</v>
      </c>
      <c r="S129" s="24">
        <f t="shared" si="20"/>
        <v>105.6</v>
      </c>
      <c r="T129" s="21" t="str">
        <f t="shared" si="23"/>
        <v>G</v>
      </c>
      <c r="V129" s="26" t="s">
        <v>171</v>
      </c>
    </row>
    <row r="130" spans="1:22" ht="12.75">
      <c r="A130" s="27" t="s">
        <v>109</v>
      </c>
      <c r="B130" s="20" t="s">
        <v>110</v>
      </c>
      <c r="C130" s="22"/>
      <c r="D130" s="22"/>
      <c r="E130" s="21">
        <f>SUM(645+645)</f>
        <v>1290</v>
      </c>
      <c r="F130" s="22"/>
      <c r="G130" s="22"/>
      <c r="H130" s="22"/>
      <c r="I130" s="21"/>
      <c r="J130" s="22"/>
      <c r="K130" s="22"/>
      <c r="L130" s="22"/>
      <c r="M130" s="22"/>
      <c r="N130" s="28"/>
      <c r="O130" s="28"/>
      <c r="P130" s="28"/>
      <c r="Q130" s="28"/>
      <c r="R130" s="7">
        <f t="shared" si="22"/>
        <v>1290</v>
      </c>
      <c r="S130" s="24">
        <f t="shared" si="20"/>
        <v>129</v>
      </c>
      <c r="T130" s="21" t="str">
        <f t="shared" si="23"/>
        <v>C</v>
      </c>
      <c r="V130" s="40" t="s">
        <v>54</v>
      </c>
    </row>
    <row r="131" spans="1:22" ht="12.75">
      <c r="A131" s="27" t="s">
        <v>109</v>
      </c>
      <c r="B131" s="27" t="s">
        <v>22</v>
      </c>
      <c r="C131" s="22"/>
      <c r="D131" s="22"/>
      <c r="E131" s="21">
        <f>SUM(668+625)</f>
        <v>1293</v>
      </c>
      <c r="F131" s="21"/>
      <c r="G131" s="22"/>
      <c r="H131" s="22"/>
      <c r="I131" s="22"/>
      <c r="J131" s="22"/>
      <c r="K131" s="22"/>
      <c r="L131" s="22"/>
      <c r="M131" s="22"/>
      <c r="N131" s="28"/>
      <c r="O131" s="28"/>
      <c r="P131" s="28"/>
      <c r="Q131" s="28"/>
      <c r="R131" s="7">
        <f t="shared" si="22"/>
        <v>1293</v>
      </c>
      <c r="S131" s="24">
        <f t="shared" si="20"/>
        <v>129.3</v>
      </c>
      <c r="T131" s="21" t="str">
        <f t="shared" si="23"/>
        <v>C</v>
      </c>
      <c r="V131" s="26" t="s">
        <v>54</v>
      </c>
    </row>
    <row r="132" spans="1:22" ht="12.75">
      <c r="A132" s="27" t="s">
        <v>41</v>
      </c>
      <c r="B132" s="34" t="s">
        <v>42</v>
      </c>
      <c r="C132" s="22"/>
      <c r="D132" s="22"/>
      <c r="E132" s="21"/>
      <c r="F132" s="21"/>
      <c r="G132" s="21">
        <f>SUM(680+680)</f>
        <v>1360</v>
      </c>
      <c r="H132" s="22"/>
      <c r="I132" s="22"/>
      <c r="J132" s="22"/>
      <c r="K132" s="22"/>
      <c r="L132" s="22"/>
      <c r="M132" s="22"/>
      <c r="N132" s="28"/>
      <c r="O132" s="28"/>
      <c r="P132" s="28"/>
      <c r="Q132" s="28"/>
      <c r="R132" s="35">
        <f t="shared" si="22"/>
        <v>1360</v>
      </c>
      <c r="S132" s="24">
        <f t="shared" si="20"/>
        <v>136</v>
      </c>
      <c r="T132" s="21" t="str">
        <f t="shared" si="23"/>
        <v>A</v>
      </c>
      <c r="U132" s="25"/>
      <c r="V132" s="26" t="s">
        <v>43</v>
      </c>
    </row>
    <row r="133" spans="1:22" ht="12.75">
      <c r="A133" s="19" t="s">
        <v>41</v>
      </c>
      <c r="B133" s="19" t="s">
        <v>44</v>
      </c>
      <c r="C133" s="21">
        <f>SUM(714+710)</f>
        <v>1424</v>
      </c>
      <c r="D133" s="21">
        <f>SUM(720+701)</f>
        <v>1421</v>
      </c>
      <c r="E133" s="21">
        <f>SUM(699+686)</f>
        <v>1385</v>
      </c>
      <c r="F133" s="21">
        <f>SUM(713+721)</f>
        <v>1434</v>
      </c>
      <c r="G133" s="21">
        <f>SUM(718+709)</f>
        <v>1427</v>
      </c>
      <c r="H133" s="21">
        <f>SUM(720+727)</f>
        <v>1447</v>
      </c>
      <c r="I133" s="21">
        <f>SUM(717+700)</f>
        <v>1417</v>
      </c>
      <c r="J133" s="21">
        <f>SUM(716+666)</f>
        <v>1382</v>
      </c>
      <c r="K133" s="21">
        <f>SUM(715+700)</f>
        <v>1415</v>
      </c>
      <c r="L133" s="22"/>
      <c r="M133" s="22"/>
      <c r="N133" s="22"/>
      <c r="O133" s="22"/>
      <c r="P133" s="22"/>
      <c r="Q133" s="22"/>
      <c r="R133" s="62">
        <f t="shared" si="22"/>
        <v>1416.888888888889</v>
      </c>
      <c r="S133" s="24">
        <f t="shared" si="20"/>
        <v>141.6888888888889</v>
      </c>
      <c r="T133" s="21" t="str">
        <f t="shared" si="23"/>
        <v>A</v>
      </c>
      <c r="U133" s="25"/>
      <c r="V133" s="26" t="s">
        <v>43</v>
      </c>
    </row>
    <row r="134" spans="1:22" ht="12.75">
      <c r="A134" s="27" t="s">
        <v>41</v>
      </c>
      <c r="B134" s="20" t="s">
        <v>8</v>
      </c>
      <c r="C134" s="22"/>
      <c r="D134" s="22"/>
      <c r="E134" s="21"/>
      <c r="F134" s="21"/>
      <c r="G134" s="21">
        <f>SUM(665+665)</f>
        <v>1330</v>
      </c>
      <c r="H134" s="21"/>
      <c r="I134" s="21"/>
      <c r="J134" s="22"/>
      <c r="K134" s="21"/>
      <c r="L134" s="22"/>
      <c r="M134" s="22"/>
      <c r="N134" s="28"/>
      <c r="O134" s="28"/>
      <c r="P134" s="28"/>
      <c r="Q134" s="28"/>
      <c r="R134" s="30">
        <f t="shared" si="22"/>
        <v>1330</v>
      </c>
      <c r="S134" s="24">
        <f t="shared" si="20"/>
        <v>133</v>
      </c>
      <c r="T134" s="21" t="str">
        <f t="shared" si="23"/>
        <v>B</v>
      </c>
      <c r="U134" s="33"/>
      <c r="V134" s="41"/>
    </row>
    <row r="135" spans="1:22" ht="12.75">
      <c r="A135" s="27" t="s">
        <v>172</v>
      </c>
      <c r="B135" s="27" t="s">
        <v>173</v>
      </c>
      <c r="C135" s="22"/>
      <c r="D135" s="21">
        <f>SUM(605+578)</f>
        <v>1183</v>
      </c>
      <c r="E135" s="21">
        <f>SUM(597+572)</f>
        <v>1169</v>
      </c>
      <c r="F135" s="21">
        <f>SUM(599+563)</f>
        <v>1162</v>
      </c>
      <c r="G135" s="21">
        <f>SUM(605+572)</f>
        <v>1177</v>
      </c>
      <c r="H135" s="21">
        <f>SUM(622+601)</f>
        <v>1223</v>
      </c>
      <c r="I135" s="21">
        <f>SUM(671+604)</f>
        <v>1275</v>
      </c>
      <c r="J135" s="21">
        <f>SUM(629+587)</f>
        <v>1216</v>
      </c>
      <c r="K135" s="21">
        <f>SUM(621+599)</f>
        <v>1220</v>
      </c>
      <c r="L135" s="22"/>
      <c r="M135" s="22"/>
      <c r="N135" s="28"/>
      <c r="O135" s="28"/>
      <c r="P135" s="28"/>
      <c r="Q135" s="28"/>
      <c r="R135" s="35">
        <f t="shared" si="22"/>
        <v>1203.125</v>
      </c>
      <c r="S135" s="24">
        <f t="shared" si="20"/>
        <v>120.3125</v>
      </c>
      <c r="T135" s="21" t="str">
        <f t="shared" si="23"/>
        <v>E</v>
      </c>
      <c r="V135" s="26" t="s">
        <v>20</v>
      </c>
    </row>
    <row r="136" spans="1:22" ht="12.75">
      <c r="A136" s="27" t="s">
        <v>82</v>
      </c>
      <c r="B136" s="34" t="s">
        <v>83</v>
      </c>
      <c r="C136" s="22"/>
      <c r="D136" s="21">
        <f>SUM(689+670)</f>
        <v>1359</v>
      </c>
      <c r="E136" s="21">
        <f>SUM(678+559)</f>
        <v>1237</v>
      </c>
      <c r="F136" s="21">
        <f>SUM(677+677)</f>
        <v>1354</v>
      </c>
      <c r="G136" s="22"/>
      <c r="H136" s="21">
        <f>SUM(686+655)</f>
        <v>1341</v>
      </c>
      <c r="I136" s="22"/>
      <c r="J136" s="21">
        <f>SUM(665+665)</f>
        <v>1330</v>
      </c>
      <c r="K136" s="21">
        <f>SUM(715+686)</f>
        <v>1401</v>
      </c>
      <c r="L136" s="22"/>
      <c r="M136" s="22"/>
      <c r="N136" s="28"/>
      <c r="O136" s="28"/>
      <c r="P136" s="28"/>
      <c r="Q136" s="28"/>
      <c r="R136" s="30">
        <f t="shared" si="22"/>
        <v>1337</v>
      </c>
      <c r="S136" s="24">
        <f t="shared" si="20"/>
        <v>133.7</v>
      </c>
      <c r="T136" s="21" t="str">
        <f t="shared" si="23"/>
        <v>B</v>
      </c>
      <c r="V136" s="26" t="s">
        <v>54</v>
      </c>
    </row>
    <row r="137" spans="1:22" ht="12.75">
      <c r="A137" s="27" t="s">
        <v>111</v>
      </c>
      <c r="B137" s="34" t="s">
        <v>112</v>
      </c>
      <c r="C137" s="21">
        <f>SUM(644+617)</f>
        <v>1261</v>
      </c>
      <c r="D137" s="21">
        <f>SUM(674+643)</f>
        <v>1317</v>
      </c>
      <c r="E137" s="21">
        <f>SUM(623+613)</f>
        <v>1236</v>
      </c>
      <c r="F137" s="21">
        <f>SUM(684+563)</f>
        <v>1247</v>
      </c>
      <c r="G137" s="21">
        <f>SUM(670+572)</f>
        <v>1242</v>
      </c>
      <c r="H137" s="22"/>
      <c r="I137" s="21">
        <f>SUM(700+637)</f>
        <v>1337</v>
      </c>
      <c r="J137" s="21">
        <f>SUM(658+642)</f>
        <v>1300</v>
      </c>
      <c r="K137" s="21">
        <f>SUM(688+587)</f>
        <v>1275</v>
      </c>
      <c r="L137" s="22"/>
      <c r="M137" s="22"/>
      <c r="N137" s="28"/>
      <c r="O137" s="28"/>
      <c r="P137" s="28"/>
      <c r="Q137" s="28"/>
      <c r="R137" s="35">
        <f t="shared" si="22"/>
        <v>1276.875</v>
      </c>
      <c r="S137" s="24">
        <f t="shared" si="20"/>
        <v>127.6875</v>
      </c>
      <c r="T137" s="21" t="str">
        <f t="shared" si="23"/>
        <v>C</v>
      </c>
      <c r="U137" s="25"/>
      <c r="V137" s="26" t="s">
        <v>20</v>
      </c>
    </row>
    <row r="138" spans="1:22" ht="12.75">
      <c r="A138" s="27" t="s">
        <v>113</v>
      </c>
      <c r="B138" s="20" t="s">
        <v>114</v>
      </c>
      <c r="C138" s="21">
        <f>SUM(628+596)</f>
        <v>1224</v>
      </c>
      <c r="D138" s="21">
        <f>SUM(640+610)</f>
        <v>1250</v>
      </c>
      <c r="E138" s="21">
        <f>SUM(616+641)</f>
        <v>1257</v>
      </c>
      <c r="F138" s="21">
        <f>SUM(647+605)</f>
        <v>1252</v>
      </c>
      <c r="G138" s="21"/>
      <c r="H138" s="21">
        <f>SUM(661+648)</f>
        <v>1309</v>
      </c>
      <c r="I138" s="21">
        <f>SUM(658+610)</f>
        <v>1268</v>
      </c>
      <c r="J138" s="21"/>
      <c r="K138" s="21">
        <f>SUM(633+641)</f>
        <v>1274</v>
      </c>
      <c r="L138" s="22"/>
      <c r="M138" s="22"/>
      <c r="N138" s="28"/>
      <c r="O138" s="28"/>
      <c r="P138" s="28"/>
      <c r="Q138" s="28"/>
      <c r="R138" s="30">
        <f t="shared" si="22"/>
        <v>1262</v>
      </c>
      <c r="S138" s="24">
        <f t="shared" si="20"/>
        <v>126.2</v>
      </c>
      <c r="T138" s="21" t="str">
        <f t="shared" si="23"/>
        <v>C</v>
      </c>
      <c r="U138" s="25"/>
      <c r="V138" s="26" t="s">
        <v>20</v>
      </c>
    </row>
    <row r="139" spans="1:22" ht="12.75">
      <c r="A139" s="34" t="s">
        <v>229</v>
      </c>
      <c r="B139" s="34" t="s">
        <v>230</v>
      </c>
      <c r="C139" s="21"/>
      <c r="D139" s="21">
        <f>SUM(570+507)</f>
        <v>1077</v>
      </c>
      <c r="E139" s="21">
        <f>SUM(584+549)</f>
        <v>1133</v>
      </c>
      <c r="F139" s="21"/>
      <c r="G139" s="21"/>
      <c r="H139" s="22"/>
      <c r="I139" s="21"/>
      <c r="J139" s="21"/>
      <c r="K139" s="21"/>
      <c r="L139" s="22"/>
      <c r="M139" s="22"/>
      <c r="N139" s="22"/>
      <c r="O139" s="22"/>
      <c r="P139" s="22"/>
      <c r="Q139" s="22"/>
      <c r="R139" s="35">
        <f t="shared" si="22"/>
        <v>1105</v>
      </c>
      <c r="S139" s="24">
        <f t="shared" si="20"/>
        <v>110.5</v>
      </c>
      <c r="T139" s="21" t="str">
        <f t="shared" si="23"/>
        <v>F</v>
      </c>
      <c r="U139" s="33"/>
      <c r="V139" s="26" t="s">
        <v>26</v>
      </c>
    </row>
    <row r="140" spans="1:22" ht="12.75">
      <c r="A140" s="27" t="s">
        <v>174</v>
      </c>
      <c r="B140" s="34" t="s">
        <v>175</v>
      </c>
      <c r="C140" s="21">
        <f>SUM(599+518)</f>
        <v>1117</v>
      </c>
      <c r="D140" s="21"/>
      <c r="E140" s="21"/>
      <c r="F140" s="21">
        <f>SUM(637+546)</f>
        <v>1183</v>
      </c>
      <c r="G140" s="21"/>
      <c r="H140" s="22"/>
      <c r="I140" s="21"/>
      <c r="J140" s="21">
        <f>SUM(612+611)</f>
        <v>1223</v>
      </c>
      <c r="K140" s="21">
        <f>SUM(620+607)</f>
        <v>1227</v>
      </c>
      <c r="L140" s="22"/>
      <c r="M140" s="22"/>
      <c r="N140" s="28"/>
      <c r="O140" s="28"/>
      <c r="P140" s="28"/>
      <c r="Q140" s="28"/>
      <c r="R140" s="30">
        <f t="shared" si="22"/>
        <v>1187.5</v>
      </c>
      <c r="S140" s="24">
        <f t="shared" si="20"/>
        <v>118.75</v>
      </c>
      <c r="T140" s="21" t="str">
        <f t="shared" si="23"/>
        <v>E</v>
      </c>
      <c r="V140" s="26" t="s">
        <v>23</v>
      </c>
    </row>
    <row r="141" spans="1:22" ht="12.75">
      <c r="A141" s="34" t="s">
        <v>84</v>
      </c>
      <c r="B141" s="34" t="s">
        <v>37</v>
      </c>
      <c r="C141" s="21"/>
      <c r="D141" s="21"/>
      <c r="E141" s="21">
        <f>SUM(652+664)</f>
        <v>1316</v>
      </c>
      <c r="F141" s="22"/>
      <c r="G141" s="21"/>
      <c r="H141" s="22"/>
      <c r="I141" s="22"/>
      <c r="J141" s="21"/>
      <c r="K141" s="21"/>
      <c r="L141" s="22"/>
      <c r="M141" s="22"/>
      <c r="N141" s="22"/>
      <c r="O141" s="22"/>
      <c r="P141" s="22"/>
      <c r="Q141" s="22"/>
      <c r="R141" s="30">
        <f t="shared" si="22"/>
        <v>1316</v>
      </c>
      <c r="S141" s="24">
        <f t="shared" si="20"/>
        <v>131.6</v>
      </c>
      <c r="T141" s="21" t="str">
        <f t="shared" si="23"/>
        <v>B</v>
      </c>
      <c r="V141" s="26" t="s">
        <v>54</v>
      </c>
    </row>
    <row r="142" spans="1:22" ht="12.75">
      <c r="A142" s="27" t="s">
        <v>176</v>
      </c>
      <c r="B142" s="20" t="s">
        <v>31</v>
      </c>
      <c r="C142" s="21"/>
      <c r="D142" s="22"/>
      <c r="E142" s="21">
        <f>SUM(629+578)</f>
        <v>1207</v>
      </c>
      <c r="F142" s="22"/>
      <c r="G142" s="22"/>
      <c r="H142" s="21"/>
      <c r="I142" s="21"/>
      <c r="J142" s="21"/>
      <c r="K142" s="21"/>
      <c r="L142" s="22"/>
      <c r="M142" s="22"/>
      <c r="N142" s="28"/>
      <c r="O142" s="28"/>
      <c r="P142" s="28"/>
      <c r="Q142" s="28"/>
      <c r="R142" s="35">
        <f t="shared" si="22"/>
        <v>1207</v>
      </c>
      <c r="S142" s="24">
        <f t="shared" si="20"/>
        <v>120.7</v>
      </c>
      <c r="T142" s="21" t="str">
        <f t="shared" si="23"/>
        <v>E</v>
      </c>
      <c r="V142" s="26" t="s">
        <v>177</v>
      </c>
    </row>
    <row r="143" spans="1:22" ht="12.75">
      <c r="A143" s="19" t="s">
        <v>176</v>
      </c>
      <c r="B143" s="20" t="s">
        <v>274</v>
      </c>
      <c r="C143" s="21"/>
      <c r="D143" s="21"/>
      <c r="E143" s="21"/>
      <c r="F143" s="21"/>
      <c r="G143" s="21"/>
      <c r="H143" s="21">
        <f>SUM(566+491)</f>
        <v>1057</v>
      </c>
      <c r="I143" s="22"/>
      <c r="J143" s="21"/>
      <c r="K143" s="21"/>
      <c r="L143" s="22"/>
      <c r="M143" s="22"/>
      <c r="N143" s="22"/>
      <c r="O143" s="22"/>
      <c r="P143" s="22"/>
      <c r="Q143" s="22"/>
      <c r="R143" s="47">
        <f t="shared" si="22"/>
        <v>1057</v>
      </c>
      <c r="S143" s="24">
        <f t="shared" si="20"/>
        <v>105.7</v>
      </c>
      <c r="T143" s="21" t="str">
        <f t="shared" si="23"/>
        <v>G</v>
      </c>
      <c r="V143" s="41"/>
    </row>
    <row r="144" spans="1:22" ht="12.75">
      <c r="A144" s="19" t="s">
        <v>45</v>
      </c>
      <c r="B144" s="20" t="s">
        <v>46</v>
      </c>
      <c r="C144" s="21">
        <f>SUM(726+718)</f>
        <v>1444</v>
      </c>
      <c r="D144" s="21">
        <f>SUM(724+704)</f>
        <v>1428</v>
      </c>
      <c r="E144" s="21"/>
      <c r="F144" s="22"/>
      <c r="G144" s="22"/>
      <c r="H144" s="22"/>
      <c r="I144" s="21"/>
      <c r="J144" s="22"/>
      <c r="K144" s="21"/>
      <c r="L144" s="22"/>
      <c r="M144" s="22"/>
      <c r="N144" s="22"/>
      <c r="O144" s="22"/>
      <c r="P144" s="22"/>
      <c r="Q144" s="22"/>
      <c r="R144" s="29">
        <f t="shared" si="22"/>
        <v>1436</v>
      </c>
      <c r="S144" s="24">
        <f t="shared" si="20"/>
        <v>143.6</v>
      </c>
      <c r="T144" s="21" t="str">
        <f t="shared" si="23"/>
        <v>A</v>
      </c>
      <c r="U144" s="33"/>
      <c r="V144" s="26" t="s">
        <v>47</v>
      </c>
    </row>
    <row r="145" spans="1:22" ht="12.75">
      <c r="A145" s="27" t="s">
        <v>275</v>
      </c>
      <c r="B145" s="34" t="s">
        <v>276</v>
      </c>
      <c r="C145" s="22"/>
      <c r="D145" s="22"/>
      <c r="E145" s="21"/>
      <c r="F145" s="22"/>
      <c r="G145" s="22"/>
      <c r="H145" s="21">
        <f>SUM(505)</f>
        <v>505</v>
      </c>
      <c r="I145" s="22"/>
      <c r="J145" s="22"/>
      <c r="K145" s="48"/>
      <c r="L145" s="22"/>
      <c r="M145" s="22"/>
      <c r="N145" s="28"/>
      <c r="O145" s="28"/>
      <c r="P145" s="28"/>
      <c r="Q145" s="28"/>
      <c r="R145" s="29">
        <f t="shared" si="22"/>
        <v>505</v>
      </c>
      <c r="S145" s="24">
        <f>IF(R145="","",R145/5)</f>
        <v>101</v>
      </c>
      <c r="T145" s="21" t="str">
        <f t="shared" si="23"/>
        <v>G</v>
      </c>
      <c r="V145" s="26" t="s">
        <v>61</v>
      </c>
    </row>
    <row r="146" spans="1:22" ht="12.75">
      <c r="A146" s="27" t="s">
        <v>277</v>
      </c>
      <c r="B146" s="34" t="s">
        <v>278</v>
      </c>
      <c r="C146" s="21">
        <f>SUM(518+451)</f>
        <v>969</v>
      </c>
      <c r="D146" s="22"/>
      <c r="E146" s="21">
        <f>SUM(524+507)</f>
        <v>1031</v>
      </c>
      <c r="F146" s="21">
        <f>SUM(564+446)</f>
        <v>1010</v>
      </c>
      <c r="G146" s="21">
        <f>SUM(552+479)</f>
        <v>1031</v>
      </c>
      <c r="H146" s="21">
        <f>SUM(534+497)</f>
        <v>1031</v>
      </c>
      <c r="I146" s="21">
        <f>SUM(572+483)</f>
        <v>1055</v>
      </c>
      <c r="J146" s="21">
        <f>SUM(527+488)</f>
        <v>1015</v>
      </c>
      <c r="K146" s="21">
        <f>SUM(572+508)</f>
        <v>1080</v>
      </c>
      <c r="L146" s="22"/>
      <c r="M146" s="22"/>
      <c r="N146" s="28"/>
      <c r="O146" s="28"/>
      <c r="P146" s="28"/>
      <c r="Q146" s="28"/>
      <c r="R146" s="35">
        <f t="shared" si="22"/>
        <v>1027.75</v>
      </c>
      <c r="S146" s="24">
        <f>IF(R146="","",R146/10)</f>
        <v>102.775</v>
      </c>
      <c r="T146" s="21" t="str">
        <f t="shared" si="23"/>
        <v>G</v>
      </c>
      <c r="V146" s="26" t="s">
        <v>233</v>
      </c>
    </row>
    <row r="147" spans="1:22" ht="12.75">
      <c r="A147" s="34" t="s">
        <v>178</v>
      </c>
      <c r="B147" s="34" t="s">
        <v>179</v>
      </c>
      <c r="C147" s="21"/>
      <c r="D147" s="22"/>
      <c r="E147" s="22"/>
      <c r="F147" s="22"/>
      <c r="G147" s="21">
        <f>SUM(617+594)</f>
        <v>1211</v>
      </c>
      <c r="H147" s="21">
        <f>SUM(591)</f>
        <v>591</v>
      </c>
      <c r="I147" s="21">
        <f>SUM(592+511)</f>
        <v>1103</v>
      </c>
      <c r="J147" s="21">
        <f>SUM(629+589)</f>
        <v>1218</v>
      </c>
      <c r="K147" s="21">
        <f>SUM(578+574)</f>
        <v>1152</v>
      </c>
      <c r="L147" s="22"/>
      <c r="M147" s="22"/>
      <c r="N147" s="22"/>
      <c r="O147" s="22"/>
      <c r="P147" s="22"/>
      <c r="Q147" s="22"/>
      <c r="R147" s="7">
        <f>IF(A147="","",SUM(C147:Q147))</f>
        <v>5275</v>
      </c>
      <c r="S147" s="24">
        <f>IF(R147="","",R147/45)</f>
        <v>117.22222222222223</v>
      </c>
      <c r="T147" s="21" t="str">
        <f t="shared" si="23"/>
        <v>E</v>
      </c>
      <c r="U147" s="25"/>
      <c r="V147" s="26" t="s">
        <v>43</v>
      </c>
    </row>
    <row r="148" spans="1:22" ht="12.75">
      <c r="A148" s="34" t="s">
        <v>279</v>
      </c>
      <c r="B148" s="34" t="s">
        <v>280</v>
      </c>
      <c r="C148" s="22"/>
      <c r="D148" s="22"/>
      <c r="E148" s="21">
        <f>SUM(536+533)</f>
        <v>1069</v>
      </c>
      <c r="F148" s="22"/>
      <c r="G148" s="22"/>
      <c r="H148" s="22"/>
      <c r="I148" s="22"/>
      <c r="J148" s="21"/>
      <c r="K148" s="22"/>
      <c r="L148" s="22"/>
      <c r="M148" s="22"/>
      <c r="N148" s="21"/>
      <c r="O148" s="22"/>
      <c r="P148" s="22"/>
      <c r="Q148" s="22"/>
      <c r="R148" s="29">
        <f>IF(A148="","",AVERAGE(C148:Q148))</f>
        <v>1069</v>
      </c>
      <c r="S148" s="24">
        <f>IF(R148="","",R148/10)</f>
        <v>106.9</v>
      </c>
      <c r="T148" s="21" t="str">
        <f t="shared" si="23"/>
        <v>G</v>
      </c>
      <c r="U148" s="25"/>
      <c r="V148" s="46"/>
    </row>
    <row r="149" spans="1:22" ht="12.75">
      <c r="A149" s="27" t="s">
        <v>180</v>
      </c>
      <c r="B149" s="19" t="s">
        <v>148</v>
      </c>
      <c r="C149" s="22"/>
      <c r="D149" s="22"/>
      <c r="E149" s="21"/>
      <c r="F149" s="22"/>
      <c r="G149" s="21">
        <f>SUM(600+569)</f>
        <v>1169</v>
      </c>
      <c r="H149" s="22"/>
      <c r="I149" s="22"/>
      <c r="J149" s="22"/>
      <c r="K149" s="22"/>
      <c r="L149" s="22"/>
      <c r="M149" s="22"/>
      <c r="N149" s="28"/>
      <c r="O149" s="28"/>
      <c r="P149" s="28"/>
      <c r="Q149" s="28"/>
      <c r="R149" s="7">
        <f>IF(A149="","",AVERAGE(C149:Q149))</f>
        <v>1169</v>
      </c>
      <c r="S149" s="24">
        <f>IF(R149="","",R149/10)</f>
        <v>116.9</v>
      </c>
      <c r="T149" s="21" t="str">
        <f t="shared" si="23"/>
        <v>E</v>
      </c>
      <c r="U149" s="33"/>
      <c r="V149" s="26" t="s">
        <v>43</v>
      </c>
    </row>
    <row r="150" spans="1:22" ht="12.75">
      <c r="A150" s="19" t="s">
        <v>85</v>
      </c>
      <c r="B150" s="20" t="s">
        <v>86</v>
      </c>
      <c r="C150" s="21">
        <f>SUM(682+659)</f>
        <v>1341</v>
      </c>
      <c r="D150" s="21">
        <f>SUM(635+625)</f>
        <v>1260</v>
      </c>
      <c r="E150" s="21">
        <f>SUM(678+649)</f>
        <v>1327</v>
      </c>
      <c r="F150" s="21"/>
      <c r="G150" s="21">
        <f>SUM(675+643)</f>
        <v>1318</v>
      </c>
      <c r="H150" s="21">
        <f>SUM(656+663)</f>
        <v>1319</v>
      </c>
      <c r="I150" s="21">
        <f>SUM(656+645)</f>
        <v>1301</v>
      </c>
      <c r="J150" s="21">
        <f>SUM(694+622)</f>
        <v>1316</v>
      </c>
      <c r="K150" s="21">
        <f>SUM(697+658)</f>
        <v>1355</v>
      </c>
      <c r="L150" s="22"/>
      <c r="M150" s="22"/>
      <c r="N150" s="22"/>
      <c r="O150" s="22"/>
      <c r="P150" s="22"/>
      <c r="Q150" s="22"/>
      <c r="R150" s="30">
        <f>IF(A150="","",AVERAGE(C150:Q150))</f>
        <v>1317.125</v>
      </c>
      <c r="S150" s="24">
        <f>IF(R150="","",R150/10)</f>
        <v>131.7125</v>
      </c>
      <c r="T150" s="21" t="str">
        <f t="shared" si="23"/>
        <v>B</v>
      </c>
      <c r="U150" s="32"/>
      <c r="V150" s="26" t="s">
        <v>20</v>
      </c>
    </row>
    <row r="151" spans="1:22" ht="12.75">
      <c r="A151" s="27" t="s">
        <v>85</v>
      </c>
      <c r="B151" s="27" t="s">
        <v>31</v>
      </c>
      <c r="C151" s="21">
        <f>SUM(647+584)</f>
        <v>1231</v>
      </c>
      <c r="D151" s="21">
        <f>SUM(603+622)</f>
        <v>1225</v>
      </c>
      <c r="E151" s="21">
        <f>SUM(618+545)</f>
        <v>1163</v>
      </c>
      <c r="F151" s="21">
        <f>SUM(689+673)</f>
        <v>1362</v>
      </c>
      <c r="G151" s="21">
        <f>SUM(695+619)</f>
        <v>1314</v>
      </c>
      <c r="H151" s="21">
        <f>SUM(627+547)</f>
        <v>1174</v>
      </c>
      <c r="I151" s="21">
        <f>SUM(625+650)</f>
        <v>1275</v>
      </c>
      <c r="J151" s="21">
        <f>SUM(691+600)</f>
        <v>1291</v>
      </c>
      <c r="K151" s="21">
        <f>SUM(656+618)</f>
        <v>1274</v>
      </c>
      <c r="L151" s="22"/>
      <c r="M151" s="22"/>
      <c r="N151" s="28"/>
      <c r="O151" s="28"/>
      <c r="P151" s="28"/>
      <c r="Q151" s="28"/>
      <c r="R151" s="35">
        <f>IF(A151="","",AVERAGE(C151:Q151))</f>
        <v>1256.5555555555557</v>
      </c>
      <c r="S151" s="24">
        <f>IF(R151="","",R151/10)</f>
        <v>125.65555555555557</v>
      </c>
      <c r="T151" s="21" t="str">
        <f t="shared" si="23"/>
        <v>D</v>
      </c>
      <c r="U151" s="33"/>
      <c r="V151" s="26" t="s">
        <v>20</v>
      </c>
    </row>
    <row r="152" spans="1:22" ht="12.75">
      <c r="A152" s="27" t="s">
        <v>85</v>
      </c>
      <c r="B152" s="27" t="s">
        <v>231</v>
      </c>
      <c r="C152" s="21">
        <f>SUM(610+576)</f>
        <v>1186</v>
      </c>
      <c r="D152" s="21">
        <f>SUM(593+395)</f>
        <v>988</v>
      </c>
      <c r="E152" s="21"/>
      <c r="F152" s="21">
        <f>SUM(556)</f>
        <v>556</v>
      </c>
      <c r="G152" s="21">
        <f>SUM(585)</f>
        <v>585</v>
      </c>
      <c r="H152" s="21"/>
      <c r="I152" s="21"/>
      <c r="J152" s="21"/>
      <c r="K152" s="21">
        <f>SUM(611+541)</f>
        <v>1152</v>
      </c>
      <c r="L152" s="22"/>
      <c r="M152" s="22"/>
      <c r="N152" s="28"/>
      <c r="O152" s="28"/>
      <c r="P152" s="28"/>
      <c r="Q152" s="28"/>
      <c r="R152" s="23">
        <f>IF(A152="","",SUM(C152:Q152))</f>
        <v>4467</v>
      </c>
      <c r="S152" s="24">
        <f>IF(R152="","",R152/40)</f>
        <v>111.675</v>
      </c>
      <c r="T152" s="21" t="str">
        <f t="shared" si="23"/>
        <v>F</v>
      </c>
      <c r="V152" s="26" t="s">
        <v>20</v>
      </c>
    </row>
    <row r="153" spans="1:22" ht="12.75">
      <c r="A153" s="27" t="s">
        <v>232</v>
      </c>
      <c r="B153" s="20" t="s">
        <v>146</v>
      </c>
      <c r="C153" s="21">
        <f>SUM(595+550)</f>
        <v>1145</v>
      </c>
      <c r="D153" s="21">
        <f>SUM(574+551)</f>
        <v>1125</v>
      </c>
      <c r="E153" s="21">
        <f>SUM(595+512)</f>
        <v>1107</v>
      </c>
      <c r="F153" s="21">
        <f>SUM(586+596)</f>
        <v>1182</v>
      </c>
      <c r="G153" s="21">
        <f>SUM(594)</f>
        <v>594</v>
      </c>
      <c r="H153" s="22"/>
      <c r="I153" s="21">
        <f>SUM(564+533)</f>
        <v>1097</v>
      </c>
      <c r="J153" s="21">
        <f>SUM(610+563)</f>
        <v>1173</v>
      </c>
      <c r="K153" s="21">
        <f>SUM(622+562)</f>
        <v>1184</v>
      </c>
      <c r="L153" s="22"/>
      <c r="M153" s="22"/>
      <c r="N153" s="28"/>
      <c r="O153" s="28"/>
      <c r="P153" s="28"/>
      <c r="Q153" s="28"/>
      <c r="R153" s="30">
        <f>IF(A153="","",SUM(C153:Q153))</f>
        <v>8607</v>
      </c>
      <c r="S153" s="24">
        <f>IF(R153="","",R153/75)</f>
        <v>114.76</v>
      </c>
      <c r="T153" s="21" t="str">
        <f t="shared" si="23"/>
        <v>F</v>
      </c>
      <c r="V153" s="40" t="s">
        <v>233</v>
      </c>
    </row>
    <row r="154" spans="1:22" ht="12.75">
      <c r="A154" s="34" t="s">
        <v>141</v>
      </c>
      <c r="B154" s="34" t="s">
        <v>142</v>
      </c>
      <c r="C154" s="21">
        <f>SUM(627+679)</f>
        <v>1306</v>
      </c>
      <c r="D154" s="21"/>
      <c r="E154" s="21"/>
      <c r="F154" s="21">
        <f>SUM(636+619)</f>
        <v>1255</v>
      </c>
      <c r="G154" s="21"/>
      <c r="H154" s="21">
        <f>SUM(674+608)</f>
        <v>1282</v>
      </c>
      <c r="I154" s="21">
        <f>SUM(656+559)</f>
        <v>1215</v>
      </c>
      <c r="J154" s="21">
        <f>SUM(651+587)</f>
        <v>1238</v>
      </c>
      <c r="K154" s="21">
        <f>SUM(649+568)</f>
        <v>1217</v>
      </c>
      <c r="L154" s="22"/>
      <c r="M154" s="22"/>
      <c r="N154" s="22"/>
      <c r="O154" s="22"/>
      <c r="P154" s="22"/>
      <c r="Q154" s="22"/>
      <c r="R154" s="30">
        <f>IF(A154="","",AVERAGE(C154:Q154))</f>
        <v>1252.1666666666667</v>
      </c>
      <c r="S154" s="24">
        <f>IF(R154="","",R154/10)</f>
        <v>125.21666666666667</v>
      </c>
      <c r="T154" s="21" t="str">
        <f t="shared" si="23"/>
        <v>D</v>
      </c>
      <c r="U154" s="25"/>
      <c r="V154" s="26" t="s">
        <v>40</v>
      </c>
    </row>
    <row r="155" spans="1:22" ht="12.75">
      <c r="A155" s="27" t="s">
        <v>143</v>
      </c>
      <c r="B155" s="34" t="s">
        <v>144</v>
      </c>
      <c r="C155" s="22"/>
      <c r="D155" s="22"/>
      <c r="E155" s="22"/>
      <c r="F155" s="22"/>
      <c r="G155" s="21">
        <f>SUM(608+606)</f>
        <v>1214</v>
      </c>
      <c r="H155" s="21">
        <f>SUM(626)</f>
        <v>626</v>
      </c>
      <c r="I155" s="21">
        <f>SUM(630+606)</f>
        <v>1236</v>
      </c>
      <c r="J155" s="21">
        <f>SUM(631+621)</f>
        <v>1252</v>
      </c>
      <c r="K155" s="21">
        <f>SUM(632+646)</f>
        <v>1278</v>
      </c>
      <c r="L155" s="22"/>
      <c r="M155" s="22"/>
      <c r="N155" s="28"/>
      <c r="O155" s="28"/>
      <c r="P155" s="28"/>
      <c r="Q155" s="28"/>
      <c r="R155" s="29">
        <f>IF(A155="","",SUM(C155:Q155))</f>
        <v>5606</v>
      </c>
      <c r="S155" s="24">
        <f>IF(R155="","",R155/45)</f>
        <v>124.57777777777778</v>
      </c>
      <c r="T155" s="21" t="str">
        <f t="shared" si="23"/>
        <v>D</v>
      </c>
      <c r="U155" s="25"/>
      <c r="V155" s="26" t="s">
        <v>61</v>
      </c>
    </row>
    <row r="156" spans="1:22" ht="12.75">
      <c r="A156" s="27" t="s">
        <v>234</v>
      </c>
      <c r="B156" s="34" t="s">
        <v>235</v>
      </c>
      <c r="C156" s="21"/>
      <c r="D156" s="21">
        <f>SUM(584+545)</f>
        <v>1129</v>
      </c>
      <c r="E156" s="21"/>
      <c r="F156" s="21"/>
      <c r="G156" s="21"/>
      <c r="H156" s="22"/>
      <c r="I156" s="21"/>
      <c r="J156" s="21"/>
      <c r="K156" s="21"/>
      <c r="L156" s="22"/>
      <c r="M156" s="22"/>
      <c r="N156" s="28"/>
      <c r="O156" s="28"/>
      <c r="P156" s="28"/>
      <c r="Q156" s="28"/>
      <c r="R156" s="29">
        <f>IF(A156="","",SUM(C156:Q156))</f>
        <v>1129</v>
      </c>
      <c r="S156" s="24">
        <f>IF(R156="","",R156/10)</f>
        <v>112.9</v>
      </c>
      <c r="T156" s="21" t="str">
        <f t="shared" si="23"/>
        <v>F</v>
      </c>
      <c r="U156" s="25"/>
      <c r="V156" s="41"/>
    </row>
    <row r="157" spans="1:22" ht="12.75">
      <c r="A157" s="51" t="s">
        <v>281</v>
      </c>
      <c r="B157" s="51" t="s">
        <v>282</v>
      </c>
      <c r="C157" s="22"/>
      <c r="D157" s="22"/>
      <c r="E157" s="22"/>
      <c r="F157" s="22"/>
      <c r="G157" s="38">
        <f>SUM(416)</f>
        <v>416</v>
      </c>
      <c r="H157" s="22"/>
      <c r="I157" s="21"/>
      <c r="J157" s="22"/>
      <c r="K157" s="22"/>
      <c r="L157" s="22"/>
      <c r="M157" s="22"/>
      <c r="N157" s="21"/>
      <c r="O157" s="22"/>
      <c r="P157" s="22"/>
      <c r="Q157" s="22"/>
      <c r="R157" s="64">
        <f>IF(A157="","",AVERAGE(C157:Q157))</f>
        <v>416</v>
      </c>
      <c r="S157" s="53">
        <f>IF(R157="","",R157/5)</f>
        <v>83.2</v>
      </c>
      <c r="T157" s="21" t="str">
        <f t="shared" si="23"/>
        <v>G</v>
      </c>
      <c r="V157" s="41"/>
    </row>
    <row r="158" spans="1:22" ht="12.75">
      <c r="A158" s="27" t="s">
        <v>48</v>
      </c>
      <c r="B158" s="27" t="s">
        <v>49</v>
      </c>
      <c r="C158" s="21">
        <f>SUM(673)</f>
        <v>673</v>
      </c>
      <c r="D158" s="21">
        <f>SUM(712+702)</f>
        <v>1414</v>
      </c>
      <c r="E158" s="21">
        <f>SUM(673+650)</f>
        <v>1323</v>
      </c>
      <c r="F158" s="21">
        <f>SUM(696+663)</f>
        <v>1359</v>
      </c>
      <c r="G158" s="21">
        <f>SUM(701+647)</f>
        <v>1348</v>
      </c>
      <c r="H158" s="21">
        <f>SUM(683+673)</f>
        <v>1356</v>
      </c>
      <c r="I158" s="21">
        <f>SUM(689+685)</f>
        <v>1374</v>
      </c>
      <c r="J158" s="21">
        <f>SUM(694+644)</f>
        <v>1338</v>
      </c>
      <c r="K158" s="22"/>
      <c r="L158" s="22"/>
      <c r="M158" s="22"/>
      <c r="N158" s="28"/>
      <c r="O158" s="28"/>
      <c r="P158" s="28"/>
      <c r="Q158" s="28"/>
      <c r="R158" s="29">
        <f>IF(A158="","",SUM(C158:Q158))</f>
        <v>10185</v>
      </c>
      <c r="S158" s="24">
        <f>IF(R158="","",R158/75)</f>
        <v>135.8</v>
      </c>
      <c r="T158" s="21" t="str">
        <f t="shared" si="23"/>
        <v>A</v>
      </c>
      <c r="V158" s="26" t="s">
        <v>15</v>
      </c>
    </row>
    <row r="159" spans="1:22" ht="12.75">
      <c r="A159" s="27" t="s">
        <v>48</v>
      </c>
      <c r="B159" s="27" t="s">
        <v>31</v>
      </c>
      <c r="C159" s="21">
        <f>SUM(645+575)</f>
        <v>1220</v>
      </c>
      <c r="D159" s="21">
        <f>SUM(591+617)</f>
        <v>1208</v>
      </c>
      <c r="E159" s="21">
        <f>SUM(618+555)</f>
        <v>1173</v>
      </c>
      <c r="F159" s="21">
        <f>SUM(623+588)</f>
        <v>1211</v>
      </c>
      <c r="G159" s="21">
        <f>SUM(647+592)</f>
        <v>1239</v>
      </c>
      <c r="H159" s="21">
        <f>SUM(625+600)</f>
        <v>1225</v>
      </c>
      <c r="I159" s="21">
        <f>SUM(635+588)</f>
        <v>1223</v>
      </c>
      <c r="J159" s="21">
        <f>SUM(636+620)</f>
        <v>1256</v>
      </c>
      <c r="K159" s="21"/>
      <c r="L159" s="22"/>
      <c r="M159" s="22"/>
      <c r="N159" s="28"/>
      <c r="O159" s="44"/>
      <c r="P159" s="28"/>
      <c r="Q159" s="28"/>
      <c r="R159" s="35">
        <f aca="true" t="shared" si="24" ref="R159:R164">IF(A159="","",AVERAGE(C159:Q159))</f>
        <v>1219.375</v>
      </c>
      <c r="S159" s="24">
        <f aca="true" t="shared" si="25" ref="S159:S164">IF(R159="","",R159/10)</f>
        <v>121.9375</v>
      </c>
      <c r="T159" s="21" t="str">
        <f t="shared" si="23"/>
        <v>D</v>
      </c>
      <c r="V159" s="26" t="s">
        <v>15</v>
      </c>
    </row>
    <row r="160" spans="1:22" ht="12.75">
      <c r="A160" s="27" t="s">
        <v>181</v>
      </c>
      <c r="B160" s="27" t="s">
        <v>182</v>
      </c>
      <c r="C160" s="21">
        <f>SUM(613+540)</f>
        <v>1153</v>
      </c>
      <c r="D160" s="21">
        <f>SUM(583+551)</f>
        <v>1134</v>
      </c>
      <c r="E160" s="21">
        <f>SUM(569+542)</f>
        <v>1111</v>
      </c>
      <c r="F160" s="21">
        <f>SUM(635+554)</f>
        <v>1189</v>
      </c>
      <c r="G160" s="21">
        <f>SUM(622+615)</f>
        <v>1237</v>
      </c>
      <c r="H160" s="21">
        <f>SUM(569+577)</f>
        <v>1146</v>
      </c>
      <c r="I160" s="21">
        <f>SUM(642+631)</f>
        <v>1273</v>
      </c>
      <c r="J160" s="21">
        <f>SUM(581+608)</f>
        <v>1189</v>
      </c>
      <c r="K160" s="21">
        <f>SUM(596+611)</f>
        <v>1207</v>
      </c>
      <c r="L160" s="22"/>
      <c r="M160" s="22"/>
      <c r="N160" s="28"/>
      <c r="O160" s="28"/>
      <c r="P160" s="28"/>
      <c r="Q160" s="28"/>
      <c r="R160" s="30">
        <f t="shared" si="24"/>
        <v>1182.111111111111</v>
      </c>
      <c r="S160" s="24">
        <f t="shared" si="25"/>
        <v>118.21111111111111</v>
      </c>
      <c r="T160" s="21" t="str">
        <f t="shared" si="23"/>
        <v>E</v>
      </c>
      <c r="U160" s="33"/>
      <c r="V160" s="26" t="s">
        <v>23</v>
      </c>
    </row>
    <row r="161" spans="1:22" ht="12.75">
      <c r="A161" s="34" t="s">
        <v>236</v>
      </c>
      <c r="B161" s="34" t="s">
        <v>237</v>
      </c>
      <c r="C161" s="21"/>
      <c r="D161" s="21"/>
      <c r="E161" s="21"/>
      <c r="F161" s="21"/>
      <c r="G161" s="21"/>
      <c r="H161" s="21">
        <f>SUM(562+547)</f>
        <v>1109</v>
      </c>
      <c r="I161" s="21"/>
      <c r="J161" s="21"/>
      <c r="K161" s="21"/>
      <c r="L161" s="22"/>
      <c r="M161" s="22"/>
      <c r="N161" s="22"/>
      <c r="O161" s="22"/>
      <c r="P161" s="22"/>
      <c r="Q161" s="22"/>
      <c r="R161" s="36">
        <f t="shared" si="24"/>
        <v>1109</v>
      </c>
      <c r="S161" s="24">
        <f t="shared" si="25"/>
        <v>110.9</v>
      </c>
      <c r="T161" s="21" t="str">
        <f t="shared" si="23"/>
        <v>F</v>
      </c>
      <c r="V161" s="41"/>
    </row>
    <row r="162" spans="1:22" ht="12.75">
      <c r="A162" s="19"/>
      <c r="B162" s="20"/>
      <c r="C162" s="22"/>
      <c r="D162" s="21"/>
      <c r="E162" s="22"/>
      <c r="F162" s="22"/>
      <c r="G162" s="21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9">
        <f t="shared" si="24"/>
      </c>
      <c r="S162" s="24">
        <f t="shared" si="25"/>
      </c>
      <c r="T162" s="21"/>
      <c r="U162" s="55"/>
      <c r="V162" s="41"/>
    </row>
    <row r="163" spans="1:22" ht="12.75">
      <c r="A163" s="27"/>
      <c r="B163" s="34"/>
      <c r="C163" s="22"/>
      <c r="D163" s="22"/>
      <c r="E163" s="21"/>
      <c r="F163" s="22"/>
      <c r="G163" s="21"/>
      <c r="H163" s="21"/>
      <c r="I163" s="21"/>
      <c r="J163" s="22"/>
      <c r="K163" s="21"/>
      <c r="L163" s="22"/>
      <c r="M163" s="22"/>
      <c r="N163" s="28"/>
      <c r="O163" s="28"/>
      <c r="P163" s="28"/>
      <c r="Q163" s="28"/>
      <c r="R163" s="30">
        <f t="shared" si="24"/>
      </c>
      <c r="S163" s="24">
        <f t="shared" si="25"/>
      </c>
      <c r="T163" s="56"/>
      <c r="U163" s="57"/>
      <c r="V163" s="41"/>
    </row>
    <row r="164" spans="1:22" ht="12.75">
      <c r="A164" s="27"/>
      <c r="B164" s="27"/>
      <c r="C164" s="22"/>
      <c r="D164" s="21"/>
      <c r="E164" s="21"/>
      <c r="F164" s="22"/>
      <c r="G164" s="22"/>
      <c r="H164" s="22"/>
      <c r="I164" s="22"/>
      <c r="J164" s="22"/>
      <c r="K164" s="22"/>
      <c r="L164" s="22"/>
      <c r="M164" s="22"/>
      <c r="N164" s="28"/>
      <c r="O164" s="28"/>
      <c r="P164" s="28"/>
      <c r="Q164" s="28"/>
      <c r="R164" s="29">
        <f t="shared" si="24"/>
      </c>
      <c r="S164" s="24">
        <f t="shared" si="25"/>
      </c>
      <c r="T164" s="56"/>
      <c r="U164" s="57"/>
      <c r="V164" s="41"/>
    </row>
    <row r="165" spans="1:22" ht="12.75">
      <c r="A165" s="19"/>
      <c r="B165" s="20"/>
      <c r="C165" s="22"/>
      <c r="D165" s="22"/>
      <c r="E165" s="21"/>
      <c r="F165" s="21"/>
      <c r="G165" s="21"/>
      <c r="H165" s="22"/>
      <c r="I165" s="22"/>
      <c r="J165" s="21"/>
      <c r="K165" s="22"/>
      <c r="L165" s="22"/>
      <c r="M165" s="22"/>
      <c r="N165" s="22"/>
      <c r="O165" s="22"/>
      <c r="P165" s="22"/>
      <c r="Q165" s="22"/>
      <c r="R165" s="29">
        <f>IF(A165="","",SUM(C165:Q165))</f>
      </c>
      <c r="S165" s="24">
        <f>IF(R165="","",R165/35)</f>
      </c>
      <c r="T165" s="56"/>
      <c r="U165" s="55"/>
      <c r="V165" s="41"/>
    </row>
    <row r="166" spans="1:20" ht="12.75">
      <c r="A166" s="27"/>
      <c r="B166" s="27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9"/>
      <c r="O166" s="28"/>
      <c r="P166" s="44"/>
      <c r="Q166" s="28"/>
      <c r="R166" s="30">
        <f>IF(A166="","",AVERAGE(C166:Q166))</f>
      </c>
      <c r="S166" s="24">
        <f>IF(R166="","",R166/10)</f>
      </c>
      <c r="T166" s="21">
        <f>IF(AND(S166&gt;=133,S166&lt;=148),"A",IF(AND(S166&gt;=128,S166&lt;=132.99),"B",IF(AND(S166&gt;=123,S166&lt;=127.99),"C",IF(AND(S166&gt;=118,S166&lt;=122.99),"D",IF(AND(S166&gt;=113,S166&lt;=117.99),"E",IF(AND(S166&gt;=108,S166&lt;=112.99),"F",IF(AND(S166&gt;=0,S166&lt;=107.99),"G","")))))))</f>
      </c>
    </row>
    <row r="167" spans="1:20" ht="12.75">
      <c r="A167" s="34"/>
      <c r="B167" s="34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8">
        <f>IF(A167="","",AVERAGE(C167:Q167))</f>
      </c>
      <c r="S167" s="58">
        <f>IF(R167="","",R167/5)</f>
      </c>
      <c r="T167" s="21">
        <f>IF(AND(S167&gt;=133,S167&lt;=148),"A",IF(AND(S167&gt;=128,S167&lt;=132.99),"B",IF(AND(S167&gt;=123,S167&lt;=127.99),"C",IF(AND(S167&gt;=118,S167&lt;=122.99),"D",IF(AND(S167&gt;=113,S167&lt;=117.99),"E",IF(AND(S167&gt;=108,S167&lt;=112.99),"F",IF(AND(S167&gt;=0,S167&lt;=107.99),"G","")))))))</f>
      </c>
    </row>
    <row r="168" spans="1:20" ht="12.75">
      <c r="A168" s="34"/>
      <c r="B168" s="34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8">
        <f>IF(A168="","",AVERAGE(C168:Q168))</f>
      </c>
      <c r="S168" s="59">
        <f>IF(R168="","",R168/5)</f>
      </c>
      <c r="T168" s="21">
        <f>IF(AND(S168&gt;=133,S168&lt;=148),"A",IF(AND(S168&gt;=128,S168&lt;=132.99),"B",IF(AND(S168&gt;=123,S168&lt;=127.99),"C",IF(AND(S168&gt;=118,S168&lt;=122.99),"D",IF(AND(S168&gt;=113,S168&lt;=117.99),"E",IF(AND(S168&gt;=108,S168&lt;=112.99),"F",IF(AND(S168&gt;=0,S168&lt;=107.99),"G","")))))))</f>
      </c>
    </row>
    <row r="169" spans="1:20" ht="12.75">
      <c r="A169" s="34"/>
      <c r="B169" s="34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>
        <f>IF(A169="","",AVERAGE(C169:Q169))</f>
      </c>
      <c r="S169" s="58">
        <f>IF(R169="","",R169/5)</f>
      </c>
      <c r="T169" s="21">
        <f>IF(AND(S169&gt;=133,S169&lt;=148),"A",IF(AND(S169&gt;=128,S169&lt;=132.99),"B",IF(AND(S169&gt;=123,S169&lt;=127.99),"C",IF(AND(S169&gt;=118,S169&lt;=122.99),"D",IF(AND(S169&gt;=113,S169&lt;=117.99),"E",IF(AND(S169&gt;=108,S169&lt;=112.99),"F",IF(AND(S169&gt;=0,S169&lt;=107.99),"G","")))))))</f>
      </c>
    </row>
    <row r="170" spans="1:20" ht="12.75">
      <c r="A170" s="19"/>
      <c r="B170" s="20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8">
        <f>IF(A170="","",AVERAGE(C170:Q170))</f>
      </c>
      <c r="S170" s="58">
        <f>IF(R170="","",R170/5)</f>
      </c>
      <c r="T170" s="21">
        <f>IF(AND(S170&gt;=133,S170&lt;=148),"A",IF(AND(S170&gt;=128,S170&lt;=132.99),"B",IF(AND(S170&gt;=123,S170&lt;=127.99),"C",IF(AND(S170&gt;=118,S170&lt;=122.99),"D",IF(AND(S170&gt;=113,S170&lt;=117.99),"E",IF(AND(S170&gt;=108,S170&lt;=112.99),"F",IF(AND(S170&gt;=0,S170&lt;=107.99),"G","")))))))</f>
      </c>
    </row>
    <row r="171" spans="1:20" ht="12.75">
      <c r="A171" s="34"/>
      <c r="B171" s="34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1"/>
      <c r="O171" s="22"/>
      <c r="P171" s="22"/>
      <c r="Q171" s="22"/>
      <c r="R171" s="28">
        <f aca="true" t="shared" si="26" ref="R171:R197">IF(A171="","",AVERAGE(C171:Q171))</f>
      </c>
      <c r="S171" s="58">
        <f aca="true" t="shared" si="27" ref="S171:S197">IF(R171="","",R171/5)</f>
      </c>
      <c r="T171" s="21">
        <f aca="true" t="shared" si="28" ref="T171:T196">IF(AND(S171&gt;=133,S171&lt;=148),"A",IF(AND(S171&gt;=128,S171&lt;=132.99),"B",IF(AND(S171&gt;=123,S171&lt;=127.99),"C",IF(AND(S171&gt;=118,S171&lt;=122.99),"D",IF(AND(S171&gt;=113,S171&lt;=117.99),"E",IF(AND(S171&gt;=108,S171&lt;=112.99),"F",IF(AND(S171&gt;=0,S171&lt;=107.99),"G","")))))))</f>
      </c>
    </row>
    <row r="172" spans="1:20" ht="12.75">
      <c r="A172" s="34"/>
      <c r="B172" s="34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1"/>
      <c r="O172" s="22"/>
      <c r="P172" s="22"/>
      <c r="Q172" s="22"/>
      <c r="R172" s="28">
        <f t="shared" si="26"/>
      </c>
      <c r="S172" s="58">
        <f t="shared" si="27"/>
      </c>
      <c r="T172" s="21">
        <f t="shared" si="28"/>
      </c>
    </row>
    <row r="173" spans="1:20" ht="12.75">
      <c r="A173" s="34"/>
      <c r="B173" s="34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1"/>
      <c r="O173" s="22"/>
      <c r="P173" s="22"/>
      <c r="Q173" s="22"/>
      <c r="R173" s="28">
        <f t="shared" si="26"/>
      </c>
      <c r="S173" s="58">
        <f t="shared" si="27"/>
      </c>
      <c r="T173" s="21">
        <f t="shared" si="28"/>
      </c>
    </row>
    <row r="174" spans="1:20" ht="12.75">
      <c r="A174" s="34"/>
      <c r="B174" s="34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1"/>
      <c r="O174" s="22"/>
      <c r="P174" s="22"/>
      <c r="Q174" s="22"/>
      <c r="R174" s="28">
        <f t="shared" si="26"/>
      </c>
      <c r="S174" s="58">
        <f t="shared" si="27"/>
      </c>
      <c r="T174" s="21">
        <f t="shared" si="28"/>
      </c>
    </row>
    <row r="175" spans="1:20" ht="12.75">
      <c r="A175" s="34"/>
      <c r="B175" s="34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1"/>
      <c r="O175" s="22"/>
      <c r="P175" s="22"/>
      <c r="Q175" s="22"/>
      <c r="R175" s="28">
        <f t="shared" si="26"/>
      </c>
      <c r="S175" s="58">
        <f t="shared" si="27"/>
      </c>
      <c r="T175" s="21">
        <f t="shared" si="28"/>
      </c>
    </row>
    <row r="176" spans="1:20" ht="12.75">
      <c r="A176" s="34"/>
      <c r="B176" s="34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1"/>
      <c r="O176" s="22"/>
      <c r="P176" s="22"/>
      <c r="Q176" s="22"/>
      <c r="R176" s="28">
        <f t="shared" si="26"/>
      </c>
      <c r="S176" s="58">
        <f t="shared" si="27"/>
      </c>
      <c r="T176" s="21">
        <f t="shared" si="28"/>
      </c>
    </row>
    <row r="177" spans="1:20" ht="12.75">
      <c r="A177" s="34"/>
      <c r="B177" s="34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1"/>
      <c r="O177" s="22"/>
      <c r="P177" s="22"/>
      <c r="Q177" s="22"/>
      <c r="R177" s="28">
        <f t="shared" si="26"/>
      </c>
      <c r="S177" s="58">
        <f t="shared" si="27"/>
      </c>
      <c r="T177" s="21">
        <f t="shared" si="28"/>
      </c>
    </row>
    <row r="178" spans="1:20" ht="12.75">
      <c r="A178" s="34"/>
      <c r="B178" s="34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1"/>
      <c r="O178" s="22"/>
      <c r="P178" s="22"/>
      <c r="Q178" s="22"/>
      <c r="R178" s="28">
        <f t="shared" si="26"/>
      </c>
      <c r="S178" s="58">
        <f t="shared" si="27"/>
      </c>
      <c r="T178" s="21">
        <f t="shared" si="28"/>
      </c>
    </row>
    <row r="179" spans="1:20" ht="12.75">
      <c r="A179" s="34"/>
      <c r="B179" s="34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1"/>
      <c r="O179" s="22"/>
      <c r="P179" s="22"/>
      <c r="Q179" s="22"/>
      <c r="R179" s="28">
        <f t="shared" si="26"/>
      </c>
      <c r="S179" s="58">
        <f t="shared" si="27"/>
      </c>
      <c r="T179" s="21">
        <f t="shared" si="28"/>
      </c>
    </row>
    <row r="180" spans="1:20" ht="12.75">
      <c r="A180" s="34"/>
      <c r="B180" s="34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1"/>
      <c r="O180" s="22"/>
      <c r="P180" s="22"/>
      <c r="Q180" s="22"/>
      <c r="R180" s="28">
        <f t="shared" si="26"/>
      </c>
      <c r="S180" s="58">
        <f t="shared" si="27"/>
      </c>
      <c r="T180" s="21">
        <f t="shared" si="28"/>
      </c>
    </row>
    <row r="181" spans="1:20" ht="12.75">
      <c r="A181" s="34"/>
      <c r="B181" s="34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1"/>
      <c r="O181" s="22"/>
      <c r="P181" s="22"/>
      <c r="Q181" s="22"/>
      <c r="R181" s="28">
        <f t="shared" si="26"/>
      </c>
      <c r="S181" s="58">
        <f t="shared" si="27"/>
      </c>
      <c r="T181" s="21">
        <f t="shared" si="28"/>
      </c>
    </row>
    <row r="182" spans="1:20" ht="12.75">
      <c r="A182" s="34"/>
      <c r="B182" s="34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1"/>
      <c r="O182" s="22"/>
      <c r="P182" s="22"/>
      <c r="Q182" s="22"/>
      <c r="R182" s="28">
        <f t="shared" si="26"/>
      </c>
      <c r="S182" s="58">
        <f t="shared" si="27"/>
      </c>
      <c r="T182" s="21">
        <f t="shared" si="28"/>
      </c>
    </row>
    <row r="183" spans="1:20" ht="12.75">
      <c r="A183" s="34"/>
      <c r="B183" s="34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1"/>
      <c r="O183" s="22"/>
      <c r="P183" s="22"/>
      <c r="Q183" s="22"/>
      <c r="R183" s="28">
        <f t="shared" si="26"/>
      </c>
      <c r="S183" s="58">
        <f t="shared" si="27"/>
      </c>
      <c r="T183" s="21">
        <f t="shared" si="28"/>
      </c>
    </row>
    <row r="184" spans="1:20" ht="12.75">
      <c r="A184" s="34"/>
      <c r="B184" s="34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1"/>
      <c r="O184" s="22"/>
      <c r="P184" s="22"/>
      <c r="Q184" s="22"/>
      <c r="R184" s="28">
        <f t="shared" si="26"/>
      </c>
      <c r="S184" s="58">
        <f t="shared" si="27"/>
      </c>
      <c r="T184" s="21">
        <f t="shared" si="28"/>
      </c>
    </row>
    <row r="185" spans="1:20" ht="12.75">
      <c r="A185" s="34"/>
      <c r="B185" s="34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1"/>
      <c r="O185" s="22"/>
      <c r="P185" s="22"/>
      <c r="Q185" s="22"/>
      <c r="R185" s="28">
        <f t="shared" si="26"/>
      </c>
      <c r="S185" s="58">
        <f t="shared" si="27"/>
      </c>
      <c r="T185" s="21">
        <f t="shared" si="28"/>
      </c>
    </row>
    <row r="186" spans="1:20" ht="12.75">
      <c r="A186" s="34"/>
      <c r="B186" s="34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1"/>
      <c r="O186" s="22"/>
      <c r="P186" s="22"/>
      <c r="Q186" s="22"/>
      <c r="R186" s="28">
        <f t="shared" si="26"/>
      </c>
      <c r="S186" s="58">
        <f t="shared" si="27"/>
      </c>
      <c r="T186" s="21">
        <f t="shared" si="28"/>
      </c>
    </row>
    <row r="187" spans="1:20" ht="12.75">
      <c r="A187" s="34"/>
      <c r="B187" s="34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1"/>
      <c r="O187" s="22"/>
      <c r="P187" s="22"/>
      <c r="Q187" s="22"/>
      <c r="R187" s="28">
        <f t="shared" si="26"/>
      </c>
      <c r="S187" s="58">
        <f t="shared" si="27"/>
      </c>
      <c r="T187" s="21">
        <f t="shared" si="28"/>
      </c>
    </row>
    <row r="188" spans="1:20" ht="12.75">
      <c r="A188" s="34"/>
      <c r="B188" s="34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1"/>
      <c r="O188" s="22"/>
      <c r="P188" s="22"/>
      <c r="Q188" s="22"/>
      <c r="R188" s="28">
        <f t="shared" si="26"/>
      </c>
      <c r="S188" s="58">
        <f t="shared" si="27"/>
      </c>
      <c r="T188" s="21">
        <f t="shared" si="28"/>
      </c>
    </row>
    <row r="189" spans="1:20" ht="12.75">
      <c r="A189" s="34"/>
      <c r="B189" s="34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1"/>
      <c r="O189" s="22"/>
      <c r="P189" s="22"/>
      <c r="Q189" s="22"/>
      <c r="R189" s="28">
        <f t="shared" si="26"/>
      </c>
      <c r="S189" s="58">
        <f t="shared" si="27"/>
      </c>
      <c r="T189" s="21">
        <f t="shared" si="28"/>
      </c>
    </row>
    <row r="190" spans="1:20" ht="12.75">
      <c r="A190" s="34"/>
      <c r="B190" s="34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1"/>
      <c r="O190" s="22"/>
      <c r="P190" s="22"/>
      <c r="Q190" s="22"/>
      <c r="R190" s="28">
        <f t="shared" si="26"/>
      </c>
      <c r="S190" s="58">
        <f t="shared" si="27"/>
      </c>
      <c r="T190" s="21">
        <f t="shared" si="28"/>
      </c>
    </row>
    <row r="191" spans="1:20" ht="12.75">
      <c r="A191" s="34"/>
      <c r="B191" s="34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1"/>
      <c r="O191" s="22"/>
      <c r="P191" s="22"/>
      <c r="Q191" s="22"/>
      <c r="R191" s="28">
        <f t="shared" si="26"/>
      </c>
      <c r="S191" s="58">
        <f t="shared" si="27"/>
      </c>
      <c r="T191" s="21">
        <f t="shared" si="28"/>
      </c>
    </row>
    <row r="192" spans="1:20" ht="12.75">
      <c r="A192" s="34"/>
      <c r="B192" s="34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1"/>
      <c r="O192" s="22"/>
      <c r="P192" s="22"/>
      <c r="Q192" s="22"/>
      <c r="R192" s="28">
        <f t="shared" si="26"/>
      </c>
      <c r="S192" s="58">
        <f t="shared" si="27"/>
      </c>
      <c r="T192" s="21">
        <f t="shared" si="28"/>
      </c>
    </row>
    <row r="193" spans="1:20" ht="12.75">
      <c r="A193" s="34"/>
      <c r="B193" s="34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1"/>
      <c r="O193" s="22"/>
      <c r="P193" s="22"/>
      <c r="Q193" s="22"/>
      <c r="R193" s="28">
        <f t="shared" si="26"/>
      </c>
      <c r="S193" s="58">
        <f t="shared" si="27"/>
      </c>
      <c r="T193" s="21">
        <f t="shared" si="28"/>
      </c>
    </row>
    <row r="194" spans="1:20" ht="12.75">
      <c r="A194" s="34"/>
      <c r="B194" s="34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1"/>
      <c r="O194" s="22"/>
      <c r="P194" s="22"/>
      <c r="Q194" s="22"/>
      <c r="R194" s="28">
        <f t="shared" si="26"/>
      </c>
      <c r="S194" s="58">
        <f t="shared" si="27"/>
      </c>
      <c r="T194" s="21">
        <f t="shared" si="28"/>
      </c>
    </row>
    <row r="195" spans="1:20" ht="12.75">
      <c r="A195" s="34"/>
      <c r="B195" s="34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1"/>
      <c r="O195" s="22"/>
      <c r="P195" s="22"/>
      <c r="Q195" s="22"/>
      <c r="R195" s="28">
        <f t="shared" si="26"/>
      </c>
      <c r="S195" s="58">
        <f t="shared" si="27"/>
      </c>
      <c r="T195" s="21">
        <f t="shared" si="28"/>
      </c>
    </row>
    <row r="196" spans="1:20" ht="12.75">
      <c r="A196" s="34"/>
      <c r="B196" s="34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1"/>
      <c r="O196" s="22"/>
      <c r="P196" s="22"/>
      <c r="Q196" s="22"/>
      <c r="R196" s="28">
        <f t="shared" si="26"/>
      </c>
      <c r="S196" s="58">
        <f t="shared" si="27"/>
      </c>
      <c r="T196" s="21">
        <f t="shared" si="28"/>
      </c>
    </row>
    <row r="197" spans="1:20" ht="12.75">
      <c r="A197" s="34"/>
      <c r="B197" s="34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1"/>
      <c r="O197" s="22"/>
      <c r="P197" s="22"/>
      <c r="Q197" s="22"/>
      <c r="R197" s="28">
        <f t="shared" si="26"/>
      </c>
      <c r="S197" s="58">
        <f t="shared" si="27"/>
      </c>
      <c r="T197" s="21">
        <f>IF(AND(S197&gt;=133,S197&lt;=148),"A",IF(AND(S197&gt;=128,S197&lt;=132.99),"B",IF(AND(S197&gt;=123,S197&lt;=127.99),"C",IF(AND(S197&gt;=118,S197&lt;=122.99),"D",IF(AND(S197&gt;=113,S197&lt;=117.99),"E",IF(AND(S197&gt;=108,S197&lt;=112.99),"F",IF(AND(S197&gt;=0,S197&lt;=107.99),"G","")))))))</f>
      </c>
    </row>
    <row r="198" spans="1:20" ht="12.75">
      <c r="A198" s="34"/>
      <c r="B198" s="34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1"/>
      <c r="O198" s="22"/>
      <c r="P198" s="22"/>
      <c r="Q198" s="22"/>
      <c r="R198" s="28">
        <f>IF(A198="","",AVERAGE(C198:Q198))</f>
      </c>
      <c r="S198" s="58">
        <f>IF(R198="","",R198/5)</f>
      </c>
      <c r="T198" s="21">
        <f>IF(AND(S198&gt;=133,S198&lt;=148),"A",IF(AND(S198&gt;=128,S198&lt;=132.99),"B",IF(AND(S198&gt;=123,S198&lt;=127.99),"C",IF(AND(S198&gt;=118,S198&lt;=122.99),"D",IF(AND(S198&gt;=113,S198&lt;=117.99),"E",IF(AND(S198&gt;=108,S198&lt;=112.99),"F",IF(AND(S198&gt;=0,S198&lt;=107.99),"G","")))))))</f>
      </c>
    </row>
    <row r="199" spans="1:20" ht="12.75">
      <c r="A199" s="34"/>
      <c r="B199" s="34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1"/>
      <c r="O199" s="22"/>
      <c r="P199" s="22"/>
      <c r="Q199" s="22"/>
      <c r="R199" s="28">
        <f>IF(A199="","",AVERAGE(C199:Q199))</f>
      </c>
      <c r="S199" s="58">
        <f>IF(R199="","",R199/5)</f>
      </c>
      <c r="T199" s="21">
        <f>IF(AND(S199&gt;=133,S199&lt;=148),"A",IF(AND(S199&gt;=128,S199&lt;=132.99),"B",IF(AND(S199&gt;=123,S199&lt;=127.99),"C",IF(AND(S199&gt;=118,S199&lt;=122.99),"D",IF(AND(S199&gt;=113,S199&lt;=117.99),"E",IF(AND(S199&gt;=108,S199&lt;=112.99),"F",IF(AND(S199&gt;=0,S199&lt;=107.99),"G","")))))))</f>
      </c>
    </row>
    <row r="200" spans="1:22" ht="12.75">
      <c r="A200" s="60">
        <v>3</v>
      </c>
      <c r="B200" s="60">
        <v>3</v>
      </c>
      <c r="C200" s="32">
        <v>2</v>
      </c>
      <c r="D200" s="1">
        <v>2</v>
      </c>
      <c r="E200" s="1">
        <v>2</v>
      </c>
      <c r="F200" s="1">
        <v>2</v>
      </c>
      <c r="G200" s="1">
        <v>2</v>
      </c>
      <c r="H200" s="1">
        <v>2</v>
      </c>
      <c r="I200" s="1">
        <v>2</v>
      </c>
      <c r="J200" s="1">
        <v>2</v>
      </c>
      <c r="K200" s="1">
        <v>2</v>
      </c>
      <c r="L200" s="1">
        <v>2</v>
      </c>
      <c r="M200" s="1">
        <v>2</v>
      </c>
      <c r="N200" s="1">
        <v>2</v>
      </c>
      <c r="O200" s="1">
        <v>2</v>
      </c>
      <c r="P200" s="1">
        <v>2</v>
      </c>
      <c r="Q200" s="1">
        <v>2</v>
      </c>
      <c r="R200" s="1">
        <v>2</v>
      </c>
      <c r="S200" s="61">
        <v>2</v>
      </c>
      <c r="T200" s="32">
        <v>2</v>
      </c>
      <c r="U200">
        <v>2</v>
      </c>
      <c r="V200" s="60">
        <v>1</v>
      </c>
    </row>
    <row r="201" ht="12.75">
      <c r="T201" s="32"/>
    </row>
    <row r="202" ht="12.75">
      <c r="T202" s="32"/>
    </row>
  </sheetData>
  <sheetProtection selectLockedCells="1" selectUnlockedCells="1"/>
  <mergeCells count="3">
    <mergeCell ref="A1:M1"/>
    <mergeCell ref="A2:S2"/>
    <mergeCell ref="C3:M3"/>
  </mergeCells>
  <printOptions/>
  <pageMargins left="0.1968503937007874" right="0.3543307086614173" top="0.23622047244094488" bottom="0.07874015748031496" header="0" footer="0"/>
  <pageSetup fitToHeight="0" fitToWidth="1" horizontalDpi="300" verticalDpi="300" orientation="landscape" paperSize="9" r:id="rId1"/>
  <rowBreaks count="4" manualBreakCount="4">
    <brk id="37" max="255" man="1"/>
    <brk id="70" max="255" man="1"/>
    <brk id="103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C10"/>
  <sheetViews>
    <sheetView zoomScaleSheetLayoutView="100" zoomScalePageLayoutView="0" workbookViewId="0" topLeftCell="A1">
      <selection activeCell="B15" sqref="B15"/>
    </sheetView>
  </sheetViews>
  <sheetFormatPr defaultColWidth="9.140625" defaultRowHeight="12.75"/>
  <cols>
    <col min="2" max="3" width="10.57421875" style="0" customWidth="1"/>
  </cols>
  <sheetData>
    <row r="3" spans="1:3" ht="12.75">
      <c r="A3" t="s">
        <v>5</v>
      </c>
      <c r="B3" t="s">
        <v>283</v>
      </c>
      <c r="C3" t="s">
        <v>284</v>
      </c>
    </row>
    <row r="4" spans="1:3" ht="12.75">
      <c r="A4" t="s">
        <v>285</v>
      </c>
      <c r="B4">
        <v>134</v>
      </c>
      <c r="C4">
        <v>152</v>
      </c>
    </row>
    <row r="5" spans="1:3" ht="12.75">
      <c r="A5" t="s">
        <v>286</v>
      </c>
      <c r="B5">
        <v>130</v>
      </c>
      <c r="C5">
        <v>133.99</v>
      </c>
    </row>
    <row r="6" spans="1:3" ht="12.75">
      <c r="A6" t="s">
        <v>287</v>
      </c>
      <c r="B6">
        <v>126</v>
      </c>
      <c r="C6">
        <v>129.99</v>
      </c>
    </row>
    <row r="7" spans="1:3" ht="12.75">
      <c r="A7" t="s">
        <v>288</v>
      </c>
      <c r="B7">
        <v>121</v>
      </c>
      <c r="C7">
        <v>125.99</v>
      </c>
    </row>
    <row r="8" spans="1:3" ht="12.75">
      <c r="A8" t="s">
        <v>289</v>
      </c>
      <c r="B8">
        <v>115</v>
      </c>
      <c r="C8">
        <v>120.99</v>
      </c>
    </row>
    <row r="9" spans="1:3" ht="12.75">
      <c r="A9" t="s">
        <v>290</v>
      </c>
      <c r="B9">
        <v>108</v>
      </c>
      <c r="C9">
        <v>114.99</v>
      </c>
    </row>
    <row r="10" spans="1:3" ht="12.75">
      <c r="A10" t="s">
        <v>291</v>
      </c>
      <c r="B10">
        <v>0</v>
      </c>
      <c r="C10">
        <v>107.99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Jansen</dc:creator>
  <cp:keywords/>
  <dc:description/>
  <cp:lastModifiedBy>win8</cp:lastModifiedBy>
  <cp:lastPrinted>2019-08-03T05:49:58Z</cp:lastPrinted>
  <dcterms:created xsi:type="dcterms:W3CDTF">2008-09-09T18:26:41Z</dcterms:created>
  <dcterms:modified xsi:type="dcterms:W3CDTF">2019-08-03T05:50:06Z</dcterms:modified>
  <cp:category/>
  <cp:version/>
  <cp:contentType/>
  <cp:contentStatus/>
  <cp:revision>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1786576980</vt:i4>
  </property>
  <property fmtid="{D5CDD505-2E9C-101B-9397-08002B2CF9AE}" pid="3" name="_AuthorEmail">
    <vt:lpwstr>hansh65@hetnet.nl</vt:lpwstr>
  </property>
  <property fmtid="{D5CDD505-2E9C-101B-9397-08002B2CF9AE}" pid="4" name="_AuthorEmailDisplayName">
    <vt:lpwstr>Hans Heusinkveld</vt:lpwstr>
  </property>
  <property fmtid="{D5CDD505-2E9C-101B-9397-08002B2CF9AE}" pid="5" name="_EmailSubject">
    <vt:lpwstr>Uitslagen</vt:lpwstr>
  </property>
  <property fmtid="{D5CDD505-2E9C-101B-9397-08002B2CF9AE}" pid="6" name="_ReviewingToolsShownOnce">
    <vt:lpwstr/>
  </property>
</Properties>
</file>